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d.docs.live.net/a20d98a233ec8fbf/Radna površina/"/>
    </mc:Choice>
  </mc:AlternateContent>
  <xr:revisionPtr revIDLastSave="404" documentId="8_{9C27A61D-88DA-4B02-817F-C7E75EA9876E}" xr6:coauthVersionLast="47" xr6:coauthVersionMax="47" xr10:uidLastSave="{9354352A-1354-4629-998C-162C2ECC9FB3}"/>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 i="5" l="1"/>
  <c r="D262" i="5"/>
  <c r="E304" i="4"/>
  <c r="E305" i="4"/>
  <c r="E288" i="5"/>
  <c r="E258" i="5"/>
  <c r="E257" i="5"/>
  <c r="E116" i="6"/>
  <c r="E337" i="5" l="1"/>
  <c r="E303" i="5"/>
  <c r="E302" i="5"/>
  <c r="E253" i="5"/>
  <c r="E180" i="5"/>
  <c r="E179" i="5"/>
  <c r="E161" i="5"/>
  <c r="E73" i="5"/>
  <c r="E54" i="5"/>
  <c r="E28" i="5"/>
  <c r="E26" i="5"/>
  <c r="E20" i="5"/>
  <c r="E18" i="5"/>
  <c r="E17" i="5"/>
  <c r="D106" i="8"/>
  <c r="D36" i="8"/>
  <c r="D29" i="8"/>
  <c r="D28" i="8"/>
  <c r="D17" i="8"/>
  <c r="D10" i="8"/>
  <c r="D9" i="8"/>
  <c r="E738" i="4"/>
  <c r="E734" i="4"/>
  <c r="E655" i="4"/>
  <c r="E654" i="4"/>
  <c r="E653" i="4"/>
  <c r="E420" i="4"/>
  <c r="E386" i="4"/>
  <c r="E302" i="4"/>
  <c r="E201" i="4"/>
  <c r="E196" i="4"/>
  <c r="E187" i="4"/>
  <c r="E186" i="4"/>
  <c r="E185" i="4"/>
  <c r="E184" i="4"/>
  <c r="E182" i="4"/>
  <c r="E180" i="4"/>
  <c r="E179" i="4"/>
  <c r="E175" i="4"/>
  <c r="E173" i="4"/>
  <c r="E171" i="4"/>
  <c r="E166" i="4"/>
  <c r="E167" i="4"/>
  <c r="E169" i="4"/>
  <c r="E162" i="4"/>
  <c r="E159" i="4"/>
  <c r="E155" i="4"/>
  <c r="E128" i="4"/>
  <c r="E30" i="5" l="1"/>
  <c r="E368" i="5"/>
  <c r="E344" i="5"/>
  <c r="E339" i="5"/>
  <c r="E338" i="5"/>
  <c r="E286" i="5"/>
  <c r="E343" i="5"/>
  <c r="E342" i="5"/>
  <c r="E341" i="5"/>
  <c r="E340" i="5"/>
  <c r="E314" i="5"/>
  <c r="E313" i="5"/>
  <c r="E312" i="5"/>
  <c r="E311" i="5"/>
  <c r="E310" i="5"/>
  <c r="E306" i="5"/>
  <c r="E305" i="5"/>
  <c r="E301" i="5"/>
  <c r="E300" i="5"/>
  <c r="E298" i="5"/>
  <c r="E295" i="5"/>
  <c r="E294" i="5"/>
  <c r="E293" i="5"/>
  <c r="E292" i="5"/>
  <c r="E290" i="5"/>
  <c r="E289" i="5"/>
  <c r="E285" i="5"/>
  <c r="E284" i="5"/>
  <c r="E283" i="5"/>
  <c r="E282" i="5"/>
  <c r="E281" i="5"/>
  <c r="E280" i="5"/>
  <c r="E279" i="5"/>
  <c r="E278" i="5"/>
  <c r="E276" i="5"/>
  <c r="E275" i="5"/>
  <c r="E273" i="5"/>
  <c r="E272" i="5"/>
  <c r="E271" i="5"/>
  <c r="E270" i="5"/>
  <c r="E269" i="5"/>
  <c r="E268" i="5"/>
  <c r="E267" i="5"/>
  <c r="E266" i="5"/>
  <c r="E265" i="5"/>
  <c r="E263" i="5"/>
  <c r="E262" i="5"/>
  <c r="E261" i="5"/>
  <c r="E259" i="5"/>
  <c r="E254" i="5"/>
  <c r="E247" i="5"/>
  <c r="E199" i="5"/>
  <c r="E196" i="5"/>
  <c r="E195" i="5"/>
  <c r="E194" i="5"/>
  <c r="E184" i="5"/>
  <c r="E160" i="5"/>
  <c r="E164" i="5"/>
  <c r="E159" i="5"/>
  <c r="E148" i="5"/>
  <c r="E142" i="5"/>
  <c r="E80" i="5"/>
  <c r="E57" i="5"/>
  <c r="E50" i="5"/>
  <c r="E49" i="5"/>
  <c r="E48" i="5"/>
  <c r="E47" i="5"/>
  <c r="E40" i="5"/>
  <c r="E37" i="5"/>
  <c r="E27" i="5"/>
  <c r="E25" i="5"/>
  <c r="E24" i="5"/>
  <c r="E23" i="5"/>
  <c r="E22" i="5"/>
  <c r="E21" i="5"/>
  <c r="E16" i="5"/>
  <c r="E15" i="5"/>
  <c r="E11" i="5"/>
  <c r="E10" i="5"/>
  <c r="E9" i="5"/>
  <c r="E9" i="7"/>
  <c r="E140" i="6"/>
  <c r="E135" i="6"/>
  <c r="E133" i="6"/>
  <c r="E123" i="6"/>
  <c r="E120" i="6"/>
  <c r="E117" i="6"/>
  <c r="E111" i="6"/>
  <c r="E110" i="6"/>
  <c r="E109" i="6"/>
  <c r="E108" i="6"/>
  <c r="E104" i="6"/>
  <c r="E88" i="6"/>
  <c r="E87" i="6"/>
  <c r="E86" i="6"/>
  <c r="E84" i="6"/>
  <c r="E83" i="6"/>
  <c r="E81" i="6"/>
  <c r="E76" i="6"/>
  <c r="E74" i="6"/>
  <c r="E60" i="6"/>
  <c r="E55" i="6"/>
  <c r="E42" i="6"/>
  <c r="E40" i="6"/>
  <c r="E34" i="6"/>
  <c r="E30" i="6"/>
  <c r="E16" i="6"/>
  <c r="E14" i="6"/>
  <c r="E7" i="6"/>
  <c r="D107" i="8"/>
  <c r="D109" i="8"/>
  <c r="D43" i="8"/>
  <c r="D35" i="8"/>
  <c r="D34" i="8"/>
  <c r="D32" i="8"/>
  <c r="D33" i="8"/>
  <c r="D31" i="8"/>
  <c r="D30" i="8"/>
  <c r="D24" i="8"/>
  <c r="D16" i="8"/>
  <c r="D15" i="8"/>
  <c r="D14" i="8"/>
  <c r="D13" i="8"/>
  <c r="D12" i="8"/>
  <c r="D11" i="8"/>
  <c r="E857" i="4"/>
  <c r="E851" i="4"/>
  <c r="E850" i="4"/>
  <c r="E848" i="4"/>
  <c r="E846" i="4"/>
  <c r="E843" i="4"/>
  <c r="E741" i="4"/>
  <c r="E740" i="4"/>
  <c r="E711" i="4"/>
  <c r="E706" i="4"/>
  <c r="E674" i="4"/>
  <c r="E670" i="4"/>
  <c r="E669" i="4"/>
  <c r="E664" i="4"/>
  <c r="E663" i="4"/>
  <c r="E642" i="4"/>
  <c r="E416" i="4"/>
  <c r="E413" i="4"/>
  <c r="E381" i="4"/>
  <c r="E380" i="4"/>
  <c r="E378" i="4"/>
  <c r="E377" i="4"/>
  <c r="E290" i="4"/>
  <c r="E285" i="4"/>
  <c r="E284" i="4"/>
  <c r="E279" i="4"/>
  <c r="E275" i="4"/>
  <c r="E271" i="4"/>
  <c r="E270" i="4"/>
  <c r="E224" i="4"/>
  <c r="E220" i="4"/>
  <c r="E217" i="4"/>
  <c r="E200" i="4"/>
  <c r="E199" i="4"/>
  <c r="E198" i="4"/>
  <c r="E197" i="4"/>
  <c r="E195" i="4"/>
  <c r="E188" i="4"/>
  <c r="E181" i="4"/>
  <c r="E174" i="4"/>
  <c r="E168" i="4"/>
  <c r="E151" i="4"/>
  <c r="E122" i="4"/>
  <c r="E121" i="4"/>
  <c r="E117" i="4"/>
  <c r="E115" i="4"/>
  <c r="E111" i="4"/>
  <c r="E93" i="4"/>
  <c r="E92" i="4"/>
  <c r="E85" i="4"/>
  <c r="E76" i="4"/>
  <c r="E60" i="4"/>
  <c r="E59" i="4"/>
  <c r="E31" i="4"/>
  <c r="L1478" i="9" l="1"/>
  <c r="J1478" i="9"/>
  <c r="F348" i="9"/>
  <c r="F347" i="9"/>
  <c r="F346" i="9"/>
  <c r="F345" i="9"/>
  <c r="F344" i="9"/>
  <c r="F343" i="9"/>
  <c r="F342" i="9" s="1"/>
  <c r="M341" i="9"/>
  <c r="L341" i="9"/>
  <c r="F341" i="9"/>
  <c r="B341" i="9" s="1"/>
  <c r="E341" i="9"/>
  <c r="H340" i="9"/>
  <c r="G340" i="9"/>
  <c r="E340" i="9" s="1"/>
  <c r="B340" i="9" s="1"/>
  <c r="F340" i="9"/>
  <c r="F339" i="9"/>
  <c r="F338" i="9"/>
  <c r="F337" i="9"/>
  <c r="F336" i="9"/>
  <c r="H335" i="9"/>
  <c r="G335" i="9"/>
  <c r="F335" i="9"/>
  <c r="F334" i="9"/>
  <c r="H333" i="9"/>
  <c r="G333" i="9"/>
  <c r="E333" i="9" s="1"/>
  <c r="F333" i="9"/>
  <c r="B333" i="9"/>
  <c r="H332" i="9"/>
  <c r="G332" i="9"/>
  <c r="F332" i="9"/>
  <c r="E332" i="9"/>
  <c r="B332" i="9" s="1"/>
  <c r="H331" i="9"/>
  <c r="G331" i="9"/>
  <c r="E331" i="9" s="1"/>
  <c r="F331" i="9"/>
  <c r="H330" i="9"/>
  <c r="G330" i="9"/>
  <c r="E330" i="9" s="1"/>
  <c r="B330" i="9" s="1"/>
  <c r="F330" i="9"/>
  <c r="H329" i="9"/>
  <c r="G329" i="9"/>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E323" i="9" s="1"/>
  <c r="F323" i="9"/>
  <c r="H322" i="9"/>
  <c r="G322" i="9"/>
  <c r="F322" i="9"/>
  <c r="H321" i="9"/>
  <c r="G321" i="9"/>
  <c r="E321" i="9" s="1"/>
  <c r="B321" i="9" s="1"/>
  <c r="F321" i="9"/>
  <c r="H320" i="9"/>
  <c r="G320" i="9"/>
  <c r="F320" i="9"/>
  <c r="E320" i="9"/>
  <c r="B320" i="9" s="1"/>
  <c r="H319" i="9"/>
  <c r="G319" i="9"/>
  <c r="E319" i="9" s="1"/>
  <c r="B319" i="9" s="1"/>
  <c r="F319" i="9"/>
  <c r="H318" i="9"/>
  <c r="G318" i="9"/>
  <c r="E318" i="9" s="1"/>
  <c r="B318" i="9" s="1"/>
  <c r="F318" i="9"/>
  <c r="H317" i="9"/>
  <c r="G317" i="9"/>
  <c r="F317" i="9"/>
  <c r="E317" i="9"/>
  <c r="B317" i="9" s="1"/>
  <c r="F316" i="9"/>
  <c r="F315" i="9"/>
  <c r="F314" i="9"/>
  <c r="H313" i="9"/>
  <c r="E313" i="9" s="1"/>
  <c r="B313" i="9" s="1"/>
  <c r="G313" i="9"/>
  <c r="F313" i="9"/>
  <c r="H312" i="9"/>
  <c r="G312" i="9"/>
  <c r="E312" i="9" s="1"/>
  <c r="B312" i="9" s="1"/>
  <c r="F312" i="9"/>
  <c r="H311" i="9"/>
  <c r="G311" i="9"/>
  <c r="E311" i="9" s="1"/>
  <c r="B311" i="9" s="1"/>
  <c r="F311" i="9"/>
  <c r="F310" i="9"/>
  <c r="F309" i="9"/>
  <c r="F308" i="9"/>
  <c r="H307" i="9"/>
  <c r="G307" i="9"/>
  <c r="E307" i="9" s="1"/>
  <c r="B307" i="9" s="1"/>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F291" i="9"/>
  <c r="E291" i="9"/>
  <c r="B291" i="9" s="1"/>
  <c r="M290" i="9"/>
  <c r="L290" i="9"/>
  <c r="F290" i="9"/>
  <c r="E290" i="9"/>
  <c r="B290" i="9" s="1"/>
  <c r="M289" i="9"/>
  <c r="L289" i="9"/>
  <c r="F289" i="9" s="1"/>
  <c r="E289" i="9"/>
  <c r="M288" i="9"/>
  <c r="L288" i="9"/>
  <c r="F288" i="9" s="1"/>
  <c r="E288" i="9"/>
  <c r="B288" i="9"/>
  <c r="M287" i="9"/>
  <c r="L287" i="9"/>
  <c r="F287" i="9" s="1"/>
  <c r="E287" i="9"/>
  <c r="B287" i="9" s="1"/>
  <c r="M286" i="9"/>
  <c r="L286" i="9"/>
  <c r="F286" i="9"/>
  <c r="E286" i="9"/>
  <c r="B286" i="9" s="1"/>
  <c r="M285" i="9"/>
  <c r="L285" i="9"/>
  <c r="F285" i="9" s="1"/>
  <c r="B285" i="9" s="1"/>
  <c r="E285" i="9"/>
  <c r="M284" i="9"/>
  <c r="L284" i="9"/>
  <c r="E284" i="9"/>
  <c r="M283" i="9"/>
  <c r="L283" i="9"/>
  <c r="F283" i="9"/>
  <c r="E283" i="9"/>
  <c r="B283" i="9" s="1"/>
  <c r="M282" i="9"/>
  <c r="L282" i="9"/>
  <c r="F282" i="9"/>
  <c r="E282" i="9"/>
  <c r="B282" i="9" s="1"/>
  <c r="M281" i="9"/>
  <c r="L281" i="9"/>
  <c r="F281" i="9" s="1"/>
  <c r="E281" i="9"/>
  <c r="M280" i="9"/>
  <c r="L280" i="9"/>
  <c r="F280" i="9" s="1"/>
  <c r="B280" i="9" s="1"/>
  <c r="E280" i="9"/>
  <c r="M279" i="9"/>
  <c r="L279" i="9"/>
  <c r="F279" i="9" s="1"/>
  <c r="E279" i="9"/>
  <c r="M278" i="9"/>
  <c r="L278" i="9"/>
  <c r="F278" i="9"/>
  <c r="E278" i="9"/>
  <c r="B278" i="9" s="1"/>
  <c r="M277" i="9"/>
  <c r="L277" i="9"/>
  <c r="F277" i="9" s="1"/>
  <c r="B277" i="9" s="1"/>
  <c r="E277" i="9"/>
  <c r="M276" i="9"/>
  <c r="L276" i="9"/>
  <c r="E276" i="9"/>
  <c r="M275" i="9"/>
  <c r="L275" i="9"/>
  <c r="F275" i="9"/>
  <c r="E275" i="9"/>
  <c r="B275" i="9" s="1"/>
  <c r="M274" i="9"/>
  <c r="L274" i="9"/>
  <c r="F274" i="9" s="1"/>
  <c r="E274" i="9"/>
  <c r="M273" i="9"/>
  <c r="L273" i="9"/>
  <c r="F273" i="9" s="1"/>
  <c r="E273" i="9"/>
  <c r="B273" i="9" s="1"/>
  <c r="M272" i="9"/>
  <c r="L272" i="9"/>
  <c r="F272" i="9" s="1"/>
  <c r="E272" i="9"/>
  <c r="B272" i="9"/>
  <c r="M271" i="9"/>
  <c r="L271" i="9"/>
  <c r="F271" i="9" s="1"/>
  <c r="E271" i="9"/>
  <c r="B271" i="9" s="1"/>
  <c r="M270" i="9"/>
  <c r="L270" i="9"/>
  <c r="F270" i="9"/>
  <c r="E270" i="9"/>
  <c r="B270" i="9" s="1"/>
  <c r="M269" i="9"/>
  <c r="L269" i="9"/>
  <c r="F269" i="9" s="1"/>
  <c r="B269" i="9" s="1"/>
  <c r="E269" i="9"/>
  <c r="M268" i="9"/>
  <c r="L268" i="9"/>
  <c r="F268" i="9" s="1"/>
  <c r="E268" i="9"/>
  <c r="M267" i="9"/>
  <c r="L267" i="9"/>
  <c r="F267" i="9"/>
  <c r="E267" i="9"/>
  <c r="B267" i="9" s="1"/>
  <c r="M266" i="9"/>
  <c r="L266" i="9"/>
  <c r="F266" i="9" s="1"/>
  <c r="E266" i="9"/>
  <c r="B266" i="9" s="1"/>
  <c r="M265" i="9"/>
  <c r="L265" i="9"/>
  <c r="F265" i="9" s="1"/>
  <c r="B265" i="9" s="1"/>
  <c r="E265" i="9"/>
  <c r="M264" i="9"/>
  <c r="L264" i="9"/>
  <c r="F264" i="9" s="1"/>
  <c r="E264" i="9"/>
  <c r="B264" i="9"/>
  <c r="M263" i="9"/>
  <c r="L263" i="9"/>
  <c r="F263" i="9"/>
  <c r="E263" i="9"/>
  <c r="B263" i="9" s="1"/>
  <c r="M262" i="9"/>
  <c r="L262" i="9"/>
  <c r="F262" i="9"/>
  <c r="E262" i="9"/>
  <c r="B262" i="9" s="1"/>
  <c r="M261" i="9"/>
  <c r="L261" i="9"/>
  <c r="F261" i="9" s="1"/>
  <c r="B261" i="9" s="1"/>
  <c r="E261" i="9"/>
  <c r="M260" i="9"/>
  <c r="F260" i="9" s="1"/>
  <c r="B260" i="9" s="1"/>
  <c r="L260" i="9"/>
  <c r="E260" i="9"/>
  <c r="M259" i="9"/>
  <c r="L259" i="9"/>
  <c r="F259" i="9"/>
  <c r="E259" i="9"/>
  <c r="B259" i="9" s="1"/>
  <c r="M258" i="9"/>
  <c r="L258" i="9"/>
  <c r="F258" i="9" s="1"/>
  <c r="E258" i="9"/>
  <c r="M257" i="9"/>
  <c r="L257" i="9"/>
  <c r="F257" i="9" s="1"/>
  <c r="E257" i="9"/>
  <c r="B257" i="9" s="1"/>
  <c r="M256" i="9"/>
  <c r="L256" i="9"/>
  <c r="F256" i="9" s="1"/>
  <c r="E256" i="9"/>
  <c r="B256" i="9"/>
  <c r="M255" i="9"/>
  <c r="L255" i="9"/>
  <c r="F255" i="9" s="1"/>
  <c r="E255" i="9"/>
  <c r="B255" i="9" s="1"/>
  <c r="M254" i="9"/>
  <c r="L254" i="9"/>
  <c r="F254" i="9"/>
  <c r="E254" i="9"/>
  <c r="M253" i="9"/>
  <c r="L253" i="9"/>
  <c r="F253" i="9" s="1"/>
  <c r="B253" i="9" s="1"/>
  <c r="E253" i="9"/>
  <c r="M252" i="9"/>
  <c r="L252" i="9"/>
  <c r="F252" i="9" s="1"/>
  <c r="E252" i="9"/>
  <c r="B252" i="9" s="1"/>
  <c r="M251" i="9"/>
  <c r="L251" i="9"/>
  <c r="F251" i="9"/>
  <c r="E251" i="9"/>
  <c r="B251" i="9" s="1"/>
  <c r="M250" i="9"/>
  <c r="L250" i="9"/>
  <c r="F250" i="9" s="1"/>
  <c r="B250" i="9" s="1"/>
  <c r="E250" i="9"/>
  <c r="M249" i="9"/>
  <c r="L249" i="9"/>
  <c r="F249" i="9" s="1"/>
  <c r="E249" i="9"/>
  <c r="M248" i="9"/>
  <c r="L248" i="9"/>
  <c r="F248" i="9" s="1"/>
  <c r="B248" i="9" s="1"/>
  <c r="E248" i="9"/>
  <c r="M247" i="9"/>
  <c r="L247" i="9"/>
  <c r="E247" i="9"/>
  <c r="M246" i="9"/>
  <c r="F246" i="9" s="1"/>
  <c r="L246" i="9"/>
  <c r="E246" i="9"/>
  <c r="M245" i="9"/>
  <c r="L245" i="9"/>
  <c r="F245" i="9" s="1"/>
  <c r="B245" i="9" s="1"/>
  <c r="E245" i="9"/>
  <c r="M244" i="9"/>
  <c r="L244" i="9"/>
  <c r="E244" i="9"/>
  <c r="M243" i="9"/>
  <c r="F243" i="9" s="1"/>
  <c r="L243" i="9"/>
  <c r="E243" i="9"/>
  <c r="M242" i="9"/>
  <c r="L242" i="9"/>
  <c r="E242" i="9"/>
  <c r="M241" i="9"/>
  <c r="L241" i="9"/>
  <c r="E241" i="9"/>
  <c r="M240" i="9"/>
  <c r="F240" i="9" s="1"/>
  <c r="B240" i="9" s="1"/>
  <c r="L240" i="9"/>
  <c r="E240" i="9"/>
  <c r="M239" i="9"/>
  <c r="L239" i="9"/>
  <c r="E239" i="9"/>
  <c r="M238" i="9"/>
  <c r="F238" i="9" s="1"/>
  <c r="B238" i="9" s="1"/>
  <c r="L238" i="9"/>
  <c r="E238" i="9"/>
  <c r="M237" i="9"/>
  <c r="L237" i="9"/>
  <c r="F237" i="9" s="1"/>
  <c r="B237" i="9" s="1"/>
  <c r="E237" i="9"/>
  <c r="M236" i="9"/>
  <c r="L236" i="9"/>
  <c r="E236" i="9"/>
  <c r="M235" i="9"/>
  <c r="L235" i="9"/>
  <c r="F235" i="9"/>
  <c r="E235" i="9"/>
  <c r="B235" i="9" s="1"/>
  <c r="M234" i="9"/>
  <c r="L234" i="9"/>
  <c r="F234" i="9" s="1"/>
  <c r="E234" i="9"/>
  <c r="M233" i="9"/>
  <c r="L233" i="9"/>
  <c r="F233" i="9" s="1"/>
  <c r="E233" i="9"/>
  <c r="M232" i="9"/>
  <c r="L232" i="9"/>
  <c r="F232" i="9" s="1"/>
  <c r="B232" i="9" s="1"/>
  <c r="E232" i="9"/>
  <c r="M231" i="9"/>
  <c r="L231" i="9"/>
  <c r="F231" i="9" s="1"/>
  <c r="B231" i="9" s="1"/>
  <c r="E231" i="9"/>
  <c r="M230" i="9"/>
  <c r="F230" i="9" s="1"/>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E173" i="9" s="1"/>
  <c r="B173" i="9" s="1"/>
  <c r="F173" i="9"/>
  <c r="H172" i="9"/>
  <c r="G172" i="9"/>
  <c r="F172" i="9"/>
  <c r="E172" i="9"/>
  <c r="B172" i="9" s="1"/>
  <c r="H171" i="9"/>
  <c r="G171" i="9"/>
  <c r="E171" i="9" s="1"/>
  <c r="B171" i="9" s="1"/>
  <c r="F171" i="9"/>
  <c r="H170" i="9"/>
  <c r="G170" i="9"/>
  <c r="E170" i="9" s="1"/>
  <c r="B170" i="9" s="1"/>
  <c r="F170" i="9"/>
  <c r="H169" i="9"/>
  <c r="G169" i="9"/>
  <c r="F169" i="9"/>
  <c r="E169" i="9"/>
  <c r="B169" i="9"/>
  <c r="H168" i="9"/>
  <c r="G168" i="9"/>
  <c r="E168" i="9" s="1"/>
  <c r="B168" i="9" s="1"/>
  <c r="F168" i="9"/>
  <c r="H167" i="9"/>
  <c r="G167" i="9"/>
  <c r="E167" i="9" s="1"/>
  <c r="B167" i="9" s="1"/>
  <c r="F167" i="9"/>
  <c r="H166" i="9"/>
  <c r="G166" i="9"/>
  <c r="F166" i="9"/>
  <c r="E166" i="9"/>
  <c r="B166" i="9"/>
  <c r="H165" i="9"/>
  <c r="E165" i="9" s="1"/>
  <c r="B165" i="9" s="1"/>
  <c r="G165" i="9"/>
  <c r="F165" i="9"/>
  <c r="H164" i="9"/>
  <c r="G164" i="9"/>
  <c r="F164" i="9"/>
  <c r="E164" i="9"/>
  <c r="B164" i="9" s="1"/>
  <c r="H163" i="9"/>
  <c r="G163" i="9"/>
  <c r="E163" i="9" s="1"/>
  <c r="B163" i="9" s="1"/>
  <c r="F163" i="9"/>
  <c r="H162" i="9"/>
  <c r="G162" i="9"/>
  <c r="E162" i="9" s="1"/>
  <c r="B162" i="9" s="1"/>
  <c r="F162" i="9"/>
  <c r="H161" i="9"/>
  <c r="G161" i="9"/>
  <c r="F161" i="9"/>
  <c r="E161" i="9"/>
  <c r="B161" i="9"/>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F151" i="9"/>
  <c r="H150" i="9"/>
  <c r="G150" i="9"/>
  <c r="F150" i="9"/>
  <c r="E150" i="9"/>
  <c r="B150" i="9"/>
  <c r="H149" i="9"/>
  <c r="G149" i="9"/>
  <c r="F149" i="9"/>
  <c r="H148" i="9"/>
  <c r="G148" i="9"/>
  <c r="F148" i="9"/>
  <c r="E148" i="9"/>
  <c r="B148" i="9" s="1"/>
  <c r="H147" i="9"/>
  <c r="E147" i="9" s="1"/>
  <c r="B147" i="9" s="1"/>
  <c r="G147" i="9"/>
  <c r="F147" i="9"/>
  <c r="H146" i="9"/>
  <c r="G146" i="9"/>
  <c r="E146" i="9" s="1"/>
  <c r="B146" i="9" s="1"/>
  <c r="F146" i="9"/>
  <c r="H145" i="9"/>
  <c r="G145" i="9"/>
  <c r="F145" i="9"/>
  <c r="E145" i="9"/>
  <c r="B145" i="9"/>
  <c r="H144" i="9"/>
  <c r="G144" i="9"/>
  <c r="E144" i="9" s="1"/>
  <c r="B144" i="9" s="1"/>
  <c r="F144" i="9"/>
  <c r="H143" i="9"/>
  <c r="G143" i="9"/>
  <c r="E143" i="9" s="1"/>
  <c r="B143" i="9" s="1"/>
  <c r="F143" i="9"/>
  <c r="H142" i="9"/>
  <c r="G142" i="9"/>
  <c r="E142" i="9" s="1"/>
  <c r="B142" i="9" s="1"/>
  <c r="F142" i="9"/>
  <c r="H141" i="9"/>
  <c r="G141" i="9"/>
  <c r="F141" i="9"/>
  <c r="H140" i="9"/>
  <c r="G140" i="9"/>
  <c r="F140" i="9"/>
  <c r="E140" i="9"/>
  <c r="B140" i="9" s="1"/>
  <c r="H139" i="9"/>
  <c r="G139" i="9"/>
  <c r="E139" i="9" s="1"/>
  <c r="B139" i="9" s="1"/>
  <c r="F139" i="9"/>
  <c r="H138" i="9"/>
  <c r="G138" i="9"/>
  <c r="E138" i="9" s="1"/>
  <c r="B138" i="9" s="1"/>
  <c r="F138" i="9"/>
  <c r="H137" i="9"/>
  <c r="G137" i="9"/>
  <c r="F137" i="9"/>
  <c r="E137" i="9"/>
  <c r="B137" i="9"/>
  <c r="H136" i="9"/>
  <c r="G136" i="9"/>
  <c r="E136" i="9" s="1"/>
  <c r="B136" i="9" s="1"/>
  <c r="F136" i="9"/>
  <c r="H135" i="9"/>
  <c r="G135" i="9"/>
  <c r="E135" i="9" s="1"/>
  <c r="F135" i="9"/>
  <c r="H134" i="9"/>
  <c r="G134" i="9"/>
  <c r="E134" i="9" s="1"/>
  <c r="B134" i="9" s="1"/>
  <c r="F134" i="9"/>
  <c r="H133" i="9"/>
  <c r="G133" i="9"/>
  <c r="F133" i="9"/>
  <c r="H132" i="9"/>
  <c r="G132" i="9"/>
  <c r="F132" i="9"/>
  <c r="E132" i="9"/>
  <c r="B132" i="9" s="1"/>
  <c r="H131" i="9"/>
  <c r="G131" i="9"/>
  <c r="E131" i="9" s="1"/>
  <c r="B131" i="9" s="1"/>
  <c r="F131" i="9"/>
  <c r="H130" i="9"/>
  <c r="G130" i="9"/>
  <c r="E130" i="9" s="1"/>
  <c r="B130" i="9" s="1"/>
  <c r="F130" i="9"/>
  <c r="H129" i="9"/>
  <c r="G129" i="9"/>
  <c r="F129" i="9"/>
  <c r="E129" i="9"/>
  <c r="B129" i="9"/>
  <c r="H128" i="9"/>
  <c r="G128" i="9"/>
  <c r="F128" i="9"/>
  <c r="E128" i="9"/>
  <c r="B128" i="9" s="1"/>
  <c r="H127" i="9"/>
  <c r="G127" i="9"/>
  <c r="E127" i="9" s="1"/>
  <c r="F127" i="9"/>
  <c r="H126" i="9"/>
  <c r="G126" i="9"/>
  <c r="E126" i="9" s="1"/>
  <c r="B126" i="9" s="1"/>
  <c r="F126" i="9"/>
  <c r="H125" i="9"/>
  <c r="G125" i="9"/>
  <c r="F125" i="9"/>
  <c r="H124" i="9"/>
  <c r="G124" i="9"/>
  <c r="F124" i="9"/>
  <c r="E124" i="9"/>
  <c r="B124" i="9" s="1"/>
  <c r="H123" i="9"/>
  <c r="G123" i="9"/>
  <c r="F123" i="9"/>
  <c r="E123" i="9"/>
  <c r="B123" i="9" s="1"/>
  <c r="H122" i="9"/>
  <c r="G122" i="9"/>
  <c r="E122" i="9" s="1"/>
  <c r="B122" i="9" s="1"/>
  <c r="F122" i="9"/>
  <c r="H121" i="9"/>
  <c r="G121" i="9"/>
  <c r="F121" i="9"/>
  <c r="E121" i="9"/>
  <c r="B121" i="9"/>
  <c r="H120" i="9"/>
  <c r="G120" i="9"/>
  <c r="E120" i="9" s="1"/>
  <c r="B120" i="9" s="1"/>
  <c r="F120" i="9"/>
  <c r="H119" i="9"/>
  <c r="G119" i="9"/>
  <c r="E119" i="9" s="1"/>
  <c r="F119" i="9"/>
  <c r="H118" i="9"/>
  <c r="G118" i="9"/>
  <c r="E118" i="9" s="1"/>
  <c r="F118" i="9"/>
  <c r="B118" i="9"/>
  <c r="H117" i="9"/>
  <c r="G117" i="9"/>
  <c r="E117" i="9" s="1"/>
  <c r="B117" i="9" s="1"/>
  <c r="F117" i="9"/>
  <c r="H116" i="9"/>
  <c r="G116" i="9"/>
  <c r="F116" i="9"/>
  <c r="E116" i="9"/>
  <c r="H115" i="9"/>
  <c r="G115" i="9"/>
  <c r="E115" i="9" s="1"/>
  <c r="B115" i="9" s="1"/>
  <c r="F115" i="9"/>
  <c r="H114" i="9"/>
  <c r="G114" i="9"/>
  <c r="E114" i="9" s="1"/>
  <c r="B114" i="9" s="1"/>
  <c r="F114" i="9"/>
  <c r="H113" i="9"/>
  <c r="G113" i="9"/>
  <c r="F113" i="9"/>
  <c r="E113" i="9"/>
  <c r="B113" i="9"/>
  <c r="H112" i="9"/>
  <c r="G112" i="9"/>
  <c r="E112" i="9" s="1"/>
  <c r="B112" i="9" s="1"/>
  <c r="F112" i="9"/>
  <c r="H111" i="9"/>
  <c r="G111" i="9"/>
  <c r="E111" i="9" s="1"/>
  <c r="F111" i="9"/>
  <c r="H110" i="9"/>
  <c r="G110" i="9"/>
  <c r="E110" i="9" s="1"/>
  <c r="F110" i="9"/>
  <c r="B110" i="9"/>
  <c r="H109" i="9"/>
  <c r="G109" i="9"/>
  <c r="F109" i="9"/>
  <c r="H108" i="9"/>
  <c r="G108" i="9"/>
  <c r="F108" i="9"/>
  <c r="E108" i="9"/>
  <c r="H107" i="9"/>
  <c r="G107" i="9"/>
  <c r="E107" i="9" s="1"/>
  <c r="B107" i="9" s="1"/>
  <c r="F107" i="9"/>
  <c r="H106" i="9"/>
  <c r="G106" i="9"/>
  <c r="E106" i="9" s="1"/>
  <c r="B106" i="9" s="1"/>
  <c r="F106" i="9"/>
  <c r="H105" i="9"/>
  <c r="G105" i="9"/>
  <c r="F105" i="9"/>
  <c r="E105" i="9"/>
  <c r="B105" i="9" s="1"/>
  <c r="H104" i="9"/>
  <c r="G104" i="9"/>
  <c r="F104" i="9"/>
  <c r="E104" i="9"/>
  <c r="B104" i="9" s="1"/>
  <c r="H103" i="9"/>
  <c r="G103" i="9"/>
  <c r="E103" i="9" s="1"/>
  <c r="F103" i="9"/>
  <c r="H102" i="9"/>
  <c r="G102" i="9"/>
  <c r="E102" i="9" s="1"/>
  <c r="F102" i="9"/>
  <c r="B102" i="9"/>
  <c r="H101" i="9"/>
  <c r="G101" i="9"/>
  <c r="F101" i="9"/>
  <c r="H100" i="9"/>
  <c r="G100" i="9"/>
  <c r="F100" i="9"/>
  <c r="E100" i="9"/>
  <c r="B100" i="9" s="1"/>
  <c r="H99" i="9"/>
  <c r="G99" i="9"/>
  <c r="F99" i="9"/>
  <c r="E99" i="9"/>
  <c r="B99" i="9" s="1"/>
  <c r="H98" i="9"/>
  <c r="G98" i="9"/>
  <c r="F98" i="9"/>
  <c r="H97" i="9"/>
  <c r="G97" i="9"/>
  <c r="F97" i="9"/>
  <c r="E97" i="9"/>
  <c r="B97" i="9"/>
  <c r="H96" i="9"/>
  <c r="G96" i="9"/>
  <c r="F96" i="9"/>
  <c r="E96" i="9"/>
  <c r="B96" i="9" s="1"/>
  <c r="H95" i="9"/>
  <c r="G95" i="9"/>
  <c r="E95" i="9" s="1"/>
  <c r="B95" i="9" s="1"/>
  <c r="F95" i="9"/>
  <c r="H94" i="9"/>
  <c r="G94" i="9"/>
  <c r="E94" i="9" s="1"/>
  <c r="B94" i="9" s="1"/>
  <c r="F94" i="9"/>
  <c r="H93" i="9"/>
  <c r="G93" i="9"/>
  <c r="F93" i="9"/>
  <c r="H92" i="9"/>
  <c r="G92" i="9"/>
  <c r="F92" i="9"/>
  <c r="E92" i="9"/>
  <c r="H91" i="9"/>
  <c r="G91" i="9"/>
  <c r="F91" i="9"/>
  <c r="E91" i="9"/>
  <c r="B91" i="9" s="1"/>
  <c r="H90" i="9"/>
  <c r="G90" i="9"/>
  <c r="E90" i="9" s="1"/>
  <c r="B90" i="9" s="1"/>
  <c r="F90" i="9"/>
  <c r="H89" i="9"/>
  <c r="G89" i="9"/>
  <c r="F89" i="9"/>
  <c r="E89" i="9"/>
  <c r="B89" i="9"/>
  <c r="H88" i="9"/>
  <c r="G88" i="9"/>
  <c r="E88" i="9" s="1"/>
  <c r="B88" i="9" s="1"/>
  <c r="F88" i="9"/>
  <c r="H87" i="9"/>
  <c r="G87" i="9"/>
  <c r="E87" i="9" s="1"/>
  <c r="F87" i="9"/>
  <c r="H86" i="9"/>
  <c r="G86" i="9"/>
  <c r="F86" i="9"/>
  <c r="E86" i="9"/>
  <c r="B86" i="9"/>
  <c r="H85" i="9"/>
  <c r="G85" i="9"/>
  <c r="F85" i="9"/>
  <c r="H84" i="9"/>
  <c r="E84" i="9" s="1"/>
  <c r="B84" i="9" s="1"/>
  <c r="G84" i="9"/>
  <c r="F84" i="9"/>
  <c r="H83" i="9"/>
  <c r="G83" i="9"/>
  <c r="F83" i="9"/>
  <c r="H82" i="9"/>
  <c r="G82" i="9"/>
  <c r="F82" i="9"/>
  <c r="H81" i="9"/>
  <c r="E81" i="9" s="1"/>
  <c r="B81" i="9" s="1"/>
  <c r="G81" i="9"/>
  <c r="F81" i="9"/>
  <c r="H80" i="9"/>
  <c r="G80" i="9"/>
  <c r="E80" i="9" s="1"/>
  <c r="B80" i="9" s="1"/>
  <c r="F80" i="9"/>
  <c r="H79" i="9"/>
  <c r="G79" i="9"/>
  <c r="F79" i="9"/>
  <c r="H78" i="9"/>
  <c r="G78" i="9"/>
  <c r="E78" i="9" s="1"/>
  <c r="F78" i="9"/>
  <c r="B78" i="9"/>
  <c r="H77" i="9"/>
  <c r="E77" i="9" s="1"/>
  <c r="B77" i="9" s="1"/>
  <c r="G77" i="9"/>
  <c r="F77" i="9"/>
  <c r="H76" i="9"/>
  <c r="G76" i="9"/>
  <c r="F76" i="9"/>
  <c r="E76" i="9"/>
  <c r="B76" i="9" s="1"/>
  <c r="H75" i="9"/>
  <c r="G75" i="9"/>
  <c r="E75" i="9" s="1"/>
  <c r="B75" i="9" s="1"/>
  <c r="F75" i="9"/>
  <c r="H74" i="9"/>
  <c r="G74" i="9"/>
  <c r="E74" i="9" s="1"/>
  <c r="B74" i="9" s="1"/>
  <c r="F74" i="9"/>
  <c r="H73" i="9"/>
  <c r="G73" i="9"/>
  <c r="F73" i="9"/>
  <c r="E73" i="9"/>
  <c r="B73" i="9"/>
  <c r="H72" i="9"/>
  <c r="G72" i="9"/>
  <c r="F72" i="9"/>
  <c r="B72" i="9" s="1"/>
  <c r="E72" i="9"/>
  <c r="H71" i="9"/>
  <c r="G71" i="9"/>
  <c r="E71" i="9" s="1"/>
  <c r="B71" i="9" s="1"/>
  <c r="F71" i="9"/>
  <c r="H70" i="9"/>
  <c r="G70" i="9"/>
  <c r="E70" i="9" s="1"/>
  <c r="F70" i="9"/>
  <c r="B70" i="9"/>
  <c r="H69" i="9"/>
  <c r="E69" i="9" s="1"/>
  <c r="B69" i="9" s="1"/>
  <c r="G69" i="9"/>
  <c r="F69" i="9"/>
  <c r="H68" i="9"/>
  <c r="G68" i="9"/>
  <c r="F68" i="9"/>
  <c r="E68" i="9"/>
  <c r="B68" i="9" s="1"/>
  <c r="H67" i="9"/>
  <c r="G67" i="9"/>
  <c r="E67" i="9" s="1"/>
  <c r="B67" i="9" s="1"/>
  <c r="F67" i="9"/>
  <c r="H66" i="9"/>
  <c r="G66" i="9"/>
  <c r="F66" i="9"/>
  <c r="H65" i="9"/>
  <c r="G65" i="9"/>
  <c r="F65" i="9"/>
  <c r="E65" i="9"/>
  <c r="B65" i="9" s="1"/>
  <c r="H64" i="9"/>
  <c r="G64" i="9"/>
  <c r="F64" i="9"/>
  <c r="B64" i="9" s="1"/>
  <c r="E64" i="9"/>
  <c r="H63" i="9"/>
  <c r="G63" i="9"/>
  <c r="E63" i="9" s="1"/>
  <c r="F63" i="9"/>
  <c r="H62" i="9"/>
  <c r="G62" i="9"/>
  <c r="E62" i="9" s="1"/>
  <c r="B62" i="9" s="1"/>
  <c r="F62" i="9"/>
  <c r="H61" i="9"/>
  <c r="E61" i="9" s="1"/>
  <c r="B61" i="9" s="1"/>
  <c r="G61" i="9"/>
  <c r="F61" i="9"/>
  <c r="H60" i="9"/>
  <c r="G60" i="9"/>
  <c r="F60" i="9"/>
  <c r="E60" i="9"/>
  <c r="H59" i="9"/>
  <c r="G59" i="9"/>
  <c r="E59" i="9" s="1"/>
  <c r="B59" i="9" s="1"/>
  <c r="F59" i="9"/>
  <c r="H58" i="9"/>
  <c r="G58" i="9"/>
  <c r="E58" i="9" s="1"/>
  <c r="B58" i="9" s="1"/>
  <c r="F58" i="9"/>
  <c r="H57" i="9"/>
  <c r="G57" i="9"/>
  <c r="F57" i="9"/>
  <c r="E57" i="9"/>
  <c r="B57" i="9"/>
  <c r="H56" i="9"/>
  <c r="E56" i="9" s="1"/>
  <c r="G56" i="9"/>
  <c r="F56" i="9"/>
  <c r="H55" i="9"/>
  <c r="G55" i="9"/>
  <c r="F55" i="9"/>
  <c r="H54" i="9"/>
  <c r="G54" i="9"/>
  <c r="F54" i="9"/>
  <c r="H53" i="9"/>
  <c r="E53" i="9" s="1"/>
  <c r="B53" i="9" s="1"/>
  <c r="G53" i="9"/>
  <c r="F53" i="9"/>
  <c r="H52" i="9"/>
  <c r="E52" i="9" s="1"/>
  <c r="B52" i="9" s="1"/>
  <c r="G52" i="9"/>
  <c r="F52" i="9"/>
  <c r="H51" i="9"/>
  <c r="G51" i="9"/>
  <c r="E51" i="9" s="1"/>
  <c r="B51" i="9" s="1"/>
  <c r="F51" i="9"/>
  <c r="H50" i="9"/>
  <c r="G50" i="9"/>
  <c r="F50" i="9"/>
  <c r="H49" i="9"/>
  <c r="E49" i="9" s="1"/>
  <c r="B49" i="9" s="1"/>
  <c r="G49" i="9"/>
  <c r="F49" i="9"/>
  <c r="H48" i="9"/>
  <c r="E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E41" i="9" s="1"/>
  <c r="B41" i="9" s="1"/>
  <c r="G41" i="9"/>
  <c r="F41" i="9"/>
  <c r="H40" i="9"/>
  <c r="G40" i="9"/>
  <c r="F40" i="9"/>
  <c r="B40" i="9" s="1"/>
  <c r="E40" i="9"/>
  <c r="H39" i="9"/>
  <c r="G39" i="9"/>
  <c r="E39" i="9" s="1"/>
  <c r="F39" i="9"/>
  <c r="H38" i="9"/>
  <c r="G38" i="9"/>
  <c r="E38" i="9" s="1"/>
  <c r="B38" i="9" s="1"/>
  <c r="F38" i="9"/>
  <c r="H37" i="9"/>
  <c r="G37" i="9"/>
  <c r="F37" i="9"/>
  <c r="H36" i="9"/>
  <c r="G36" i="9"/>
  <c r="F36" i="9"/>
  <c r="E36" i="9"/>
  <c r="H35" i="9"/>
  <c r="G35" i="9"/>
  <c r="E35" i="9" s="1"/>
  <c r="B35" i="9" s="1"/>
  <c r="F35" i="9"/>
  <c r="H34" i="9"/>
  <c r="G34" i="9"/>
  <c r="E34" i="9" s="1"/>
  <c r="B34" i="9" s="1"/>
  <c r="F34" i="9"/>
  <c r="H33" i="9"/>
  <c r="G33" i="9"/>
  <c r="F33" i="9"/>
  <c r="E33" i="9"/>
  <c r="B33" i="9"/>
  <c r="H32" i="9"/>
  <c r="G32" i="9"/>
  <c r="F32" i="9"/>
  <c r="B32" i="9" s="1"/>
  <c r="E32" i="9"/>
  <c r="H31" i="9"/>
  <c r="G31" i="9"/>
  <c r="F31" i="9"/>
  <c r="H30" i="9"/>
  <c r="G30" i="9"/>
  <c r="F30" i="9"/>
  <c r="H29" i="9"/>
  <c r="E29" i="9" s="1"/>
  <c r="B29" i="9" s="1"/>
  <c r="G29" i="9"/>
  <c r="F29" i="9"/>
  <c r="H28" i="9"/>
  <c r="E28" i="9" s="1"/>
  <c r="B28" i="9" s="1"/>
  <c r="G28" i="9"/>
  <c r="F28" i="9"/>
  <c r="H27" i="9"/>
  <c r="G27" i="9"/>
  <c r="E27" i="9" s="1"/>
  <c r="B27" i="9" s="1"/>
  <c r="F27" i="9"/>
  <c r="H26" i="9"/>
  <c r="G26" i="9"/>
  <c r="F26" i="9"/>
  <c r="H25" i="9"/>
  <c r="E25" i="9" s="1"/>
  <c r="B25" i="9" s="1"/>
  <c r="G25" i="9"/>
  <c r="F25" i="9"/>
  <c r="F24" i="9"/>
  <c r="F4" i="9"/>
  <c r="O3" i="9"/>
  <c r="G296" i="9" s="1"/>
  <c r="E296" i="9" s="1"/>
  <c r="I3" i="9"/>
  <c r="H3" i="9"/>
  <c r="G3" i="9"/>
  <c r="D104" i="8"/>
  <c r="I41" i="3" s="1"/>
  <c r="D97" i="8"/>
  <c r="D92" i="8"/>
  <c r="D87" i="8"/>
  <c r="D82" i="8"/>
  <c r="D77" i="8"/>
  <c r="D72" i="8"/>
  <c r="D67" i="8"/>
  <c r="D62" i="8"/>
  <c r="D57" i="8"/>
  <c r="D52" i="8"/>
  <c r="D46" i="8"/>
  <c r="D37" i="8"/>
  <c r="D27" i="8"/>
  <c r="D25" i="8" s="1"/>
  <c r="C1602" i="1" s="1"/>
  <c r="D18" i="8"/>
  <c r="D8" i="8"/>
  <c r="D6" i="8" s="1"/>
  <c r="C1583" i="1" s="1"/>
  <c r="E44" i="7"/>
  <c r="E38" i="7" s="1"/>
  <c r="D44" i="7"/>
  <c r="E39" i="7"/>
  <c r="D39" i="7"/>
  <c r="D38" i="7" s="1"/>
  <c r="E30" i="7"/>
  <c r="D30" i="7"/>
  <c r="E23" i="7"/>
  <c r="D23" i="7"/>
  <c r="E14" i="7"/>
  <c r="D14" i="7"/>
  <c r="E7" i="7"/>
  <c r="E6" i="7" s="1"/>
  <c r="D1539" i="1" s="1"/>
  <c r="D7" i="7"/>
  <c r="D6" i="7" s="1"/>
  <c r="F140" i="6"/>
  <c r="F139" i="6"/>
  <c r="F138" i="6"/>
  <c r="F137" i="6"/>
  <c r="F136" i="6"/>
  <c r="F135" i="6"/>
  <c r="F134" i="6"/>
  <c r="F133" i="6"/>
  <c r="F132" i="6"/>
  <c r="F131" i="6"/>
  <c r="E130" i="6"/>
  <c r="D130" i="6"/>
  <c r="F130" i="6" s="1"/>
  <c r="E129" i="6"/>
  <c r="D129" i="6"/>
  <c r="F128" i="6"/>
  <c r="F127" i="6"/>
  <c r="F126" i="6"/>
  <c r="F125" i="6"/>
  <c r="F124" i="6"/>
  <c r="F123" i="6"/>
  <c r="E122" i="6"/>
  <c r="D122" i="6"/>
  <c r="F121" i="6"/>
  <c r="F120" i="6"/>
  <c r="F119" i="6"/>
  <c r="E118" i="6"/>
  <c r="F118" i="6" s="1"/>
  <c r="D118" i="6"/>
  <c r="F117" i="6"/>
  <c r="F116" i="6"/>
  <c r="E115" i="6"/>
  <c r="D1511" i="1" s="1"/>
  <c r="D115" i="6"/>
  <c r="F113" i="6"/>
  <c r="F112" i="6"/>
  <c r="F111" i="6"/>
  <c r="F110" i="6"/>
  <c r="F109" i="6"/>
  <c r="F108" i="6"/>
  <c r="E107" i="6"/>
  <c r="D1503" i="1" s="1"/>
  <c r="D107" i="6"/>
  <c r="F106" i="6"/>
  <c r="F105" i="6"/>
  <c r="F104" i="6"/>
  <c r="F103" i="6"/>
  <c r="F102" i="6"/>
  <c r="F101" i="6"/>
  <c r="F100" i="6"/>
  <c r="F99" i="6"/>
  <c r="E99" i="6"/>
  <c r="D99" i="6"/>
  <c r="F98" i="6"/>
  <c r="F97" i="6"/>
  <c r="F96" i="6"/>
  <c r="F95" i="6"/>
  <c r="E94" i="6"/>
  <c r="D1490" i="1" s="1"/>
  <c r="D94" i="6"/>
  <c r="F93" i="6"/>
  <c r="F92" i="6"/>
  <c r="F91" i="6"/>
  <c r="F90" i="6"/>
  <c r="E90" i="6"/>
  <c r="D90" i="6"/>
  <c r="E89" i="6"/>
  <c r="D1485" i="1" s="1"/>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D1450" i="1" s="1"/>
  <c r="G1450" i="1" s="1"/>
  <c r="D54" i="6"/>
  <c r="F53" i="6"/>
  <c r="F52" i="6"/>
  <c r="F51" i="6"/>
  <c r="E50" i="6"/>
  <c r="D50" i="6"/>
  <c r="F50" i="6" s="1"/>
  <c r="F49" i="6"/>
  <c r="F48" i="6"/>
  <c r="F47" i="6"/>
  <c r="F46" i="6"/>
  <c r="F45" i="6"/>
  <c r="F44" i="6"/>
  <c r="E43" i="6"/>
  <c r="D43" i="6"/>
  <c r="F43" i="6" s="1"/>
  <c r="F42" i="6"/>
  <c r="F41" i="6"/>
  <c r="F40" i="6"/>
  <c r="E39" i="6"/>
  <c r="F39" i="6" s="1"/>
  <c r="D39" i="6"/>
  <c r="F38" i="6"/>
  <c r="F37" i="6"/>
  <c r="E36" i="6"/>
  <c r="D36" i="6"/>
  <c r="F34" i="6"/>
  <c r="F33" i="6"/>
  <c r="F32" i="6"/>
  <c r="F31" i="6"/>
  <c r="F30" i="6"/>
  <c r="F29" i="6"/>
  <c r="E28" i="6"/>
  <c r="D1424" i="1" s="1"/>
  <c r="G1424" i="1" s="1"/>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E5" i="6" s="1"/>
  <c r="I27" i="3"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H1278" i="1" s="1"/>
  <c r="D277" i="5"/>
  <c r="F277" i="5" s="1"/>
  <c r="F276" i="5"/>
  <c r="F275" i="5"/>
  <c r="D274" i="5"/>
  <c r="F273" i="5"/>
  <c r="F272" i="5"/>
  <c r="F271" i="5"/>
  <c r="F270" i="5"/>
  <c r="F269" i="5"/>
  <c r="F268" i="5"/>
  <c r="F267" i="5"/>
  <c r="F266" i="5"/>
  <c r="F265" i="5"/>
  <c r="F264" i="5"/>
  <c r="E264" i="5"/>
  <c r="D1268" i="1" s="1"/>
  <c r="D264" i="5"/>
  <c r="F263" i="5"/>
  <c r="F262" i="5"/>
  <c r="F261" i="5"/>
  <c r="E260" i="5"/>
  <c r="D260" i="5"/>
  <c r="C1264" i="1" s="1"/>
  <c r="F259" i="5"/>
  <c r="F258" i="5"/>
  <c r="F257" i="5"/>
  <c r="E256" i="5"/>
  <c r="D1260" i="1" s="1"/>
  <c r="D256" i="5"/>
  <c r="F254" i="5"/>
  <c r="F253" i="5"/>
  <c r="E252" i="5"/>
  <c r="D1256" i="1" s="1"/>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182" i="1" s="1"/>
  <c r="D186" i="5"/>
  <c r="F185" i="5"/>
  <c r="F184" i="5"/>
  <c r="F183" i="5"/>
  <c r="F182" i="5"/>
  <c r="E181" i="5"/>
  <c r="D181" i="5"/>
  <c r="F181" i="5" s="1"/>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D1076" i="1" s="1"/>
  <c r="D71" i="5"/>
  <c r="D70" i="5" s="1"/>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1050" i="1" s="1"/>
  <c r="H1050" i="1" s="1"/>
  <c r="D45" i="5"/>
  <c r="F44" i="5"/>
  <c r="F43" i="5"/>
  <c r="F42" i="5"/>
  <c r="F41" i="5"/>
  <c r="E41" i="5"/>
  <c r="D41" i="5"/>
  <c r="F40" i="5"/>
  <c r="F39" i="5"/>
  <c r="F38" i="5"/>
  <c r="F37" i="5"/>
  <c r="F36" i="5"/>
  <c r="E35" i="5"/>
  <c r="D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5" i="4" s="1"/>
  <c r="E584" i="4"/>
  <c r="F583" i="4"/>
  <c r="F582" i="4"/>
  <c r="E581" i="4"/>
  <c r="D581" i="4"/>
  <c r="F581" i="4" s="1"/>
  <c r="F580" i="4"/>
  <c r="F579" i="4"/>
  <c r="F578" i="4"/>
  <c r="E578" i="4"/>
  <c r="E571" i="4" s="1"/>
  <c r="D578" i="4"/>
  <c r="F577" i="4"/>
  <c r="F576"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E537" i="4"/>
  <c r="D537" i="4"/>
  <c r="F537" i="4" s="1"/>
  <c r="F534" i="4"/>
  <c r="F533" i="4"/>
  <c r="E532" i="4"/>
  <c r="E522" i="4" s="1"/>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E485" i="4"/>
  <c r="D485" i="4"/>
  <c r="F484" i="4"/>
  <c r="F483" i="4"/>
  <c r="F482" i="4"/>
  <c r="F481" i="4"/>
  <c r="F480" i="4"/>
  <c r="E480" i="4"/>
  <c r="D480" i="4"/>
  <c r="E479" i="4"/>
  <c r="F478" i="4"/>
  <c r="F477" i="4"/>
  <c r="F476" i="4"/>
  <c r="E476" i="4"/>
  <c r="D476" i="4"/>
  <c r="F475" i="4"/>
  <c r="F474" i="4"/>
  <c r="F473" i="4"/>
  <c r="E473" i="4"/>
  <c r="D473" i="4"/>
  <c r="F472" i="4"/>
  <c r="F471" i="4"/>
  <c r="E470" i="4"/>
  <c r="E466" i="4" s="1"/>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F432" i="4"/>
  <c r="E432" i="4"/>
  <c r="D432" i="4"/>
  <c r="D431" i="4"/>
  <c r="E428" i="4"/>
  <c r="D428" i="4"/>
  <c r="F427" i="4"/>
  <c r="E427" i="4"/>
  <c r="D422" i="1" s="1"/>
  <c r="H422" i="1" s="1"/>
  <c r="D427" i="4"/>
  <c r="D648" i="4" s="1"/>
  <c r="F648" i="4" s="1"/>
  <c r="E426" i="4"/>
  <c r="D421" i="1" s="1"/>
  <c r="D426" i="4"/>
  <c r="F426" i="4" s="1"/>
  <c r="F421" i="4"/>
  <c r="F420" i="4"/>
  <c r="F419" i="4"/>
  <c r="F416" i="4"/>
  <c r="F415" i="4"/>
  <c r="F414" i="4"/>
  <c r="F413" i="4"/>
  <c r="E412" i="4"/>
  <c r="D407" i="1" s="1"/>
  <c r="D412" i="4"/>
  <c r="F411" i="4"/>
  <c r="E410" i="4"/>
  <c r="D410" i="4"/>
  <c r="F410" i="4" s="1"/>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4" i="1" s="1"/>
  <c r="H374" i="1" s="1"/>
  <c r="D379" i="4"/>
  <c r="F378" i="4"/>
  <c r="F377" i="4"/>
  <c r="F376" i="4"/>
  <c r="F375" i="4"/>
  <c r="F374" i="4"/>
  <c r="E374" i="4"/>
  <c r="D374" i="4"/>
  <c r="F372" i="4"/>
  <c r="F371" i="4"/>
  <c r="F370" i="4"/>
  <c r="F369" i="4"/>
  <c r="F368" i="4"/>
  <c r="F367" i="4"/>
  <c r="E366" i="4"/>
  <c r="D366" i="4"/>
  <c r="F366" i="4" s="1"/>
  <c r="F365" i="4"/>
  <c r="F364" i="4"/>
  <c r="F363" i="4"/>
  <c r="F362" i="4"/>
  <c r="E362" i="4"/>
  <c r="E361" i="4" s="1"/>
  <c r="D362" i="4"/>
  <c r="F361" i="4"/>
  <c r="D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F298" i="4"/>
  <c r="E298" i="4"/>
  <c r="D298" i="4"/>
  <c r="F297" i="4"/>
  <c r="E297" i="4"/>
  <c r="D297" i="4"/>
  <c r="F296" i="4"/>
  <c r="F295" i="4"/>
  <c r="F294" i="4"/>
  <c r="F293" i="4"/>
  <c r="F292" i="4"/>
  <c r="F291" i="4"/>
  <c r="F290" i="4"/>
  <c r="E289" i="4"/>
  <c r="D285" i="1" s="1"/>
  <c r="D289" i="4"/>
  <c r="F288" i="4"/>
  <c r="F287" i="4"/>
  <c r="F286" i="4"/>
  <c r="F285" i="4"/>
  <c r="F284" i="4"/>
  <c r="E283" i="4"/>
  <c r="D283" i="4"/>
  <c r="F283" i="4" s="1"/>
  <c r="F282" i="4"/>
  <c r="F281" i="4"/>
  <c r="F280" i="4"/>
  <c r="F279" i="4"/>
  <c r="E278" i="4"/>
  <c r="D278" i="4"/>
  <c r="F277" i="4"/>
  <c r="F276" i="4"/>
  <c r="F275" i="4"/>
  <c r="E274" i="4"/>
  <c r="D274" i="4"/>
  <c r="E273" i="4"/>
  <c r="D269" i="1" s="1"/>
  <c r="D273" i="4"/>
  <c r="F272" i="4"/>
  <c r="F271" i="4"/>
  <c r="F270" i="4"/>
  <c r="E269" i="4"/>
  <c r="D265" i="1" s="1"/>
  <c r="D269" i="4"/>
  <c r="F269" i="4" s="1"/>
  <c r="F268" i="4"/>
  <c r="F267" i="4"/>
  <c r="F266" i="4"/>
  <c r="F265" i="4"/>
  <c r="F264" i="4"/>
  <c r="E263" i="4"/>
  <c r="D259" i="1" s="1"/>
  <c r="D263" i="4"/>
  <c r="F263" i="4" s="1"/>
  <c r="D262" i="4"/>
  <c r="F261" i="4"/>
  <c r="F260" i="4"/>
  <c r="F259" i="4"/>
  <c r="F258" i="4"/>
  <c r="E257" i="4"/>
  <c r="D257" i="4"/>
  <c r="F257" i="4" s="1"/>
  <c r="F256" i="4"/>
  <c r="F255" i="4"/>
  <c r="E254" i="4"/>
  <c r="D254" i="4"/>
  <c r="F254" i="4" s="1"/>
  <c r="F253" i="4"/>
  <c r="F252" i="4"/>
  <c r="F251" i="4"/>
  <c r="F250" i="4"/>
  <c r="E250" i="4"/>
  <c r="D246" i="1" s="1"/>
  <c r="G246" i="1" s="1"/>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F225" i="4"/>
  <c r="E225" i="4"/>
  <c r="D225" i="4"/>
  <c r="D221" i="4" s="1"/>
  <c r="F224" i="4"/>
  <c r="F223" i="4"/>
  <c r="E222" i="4"/>
  <c r="D222" i="4"/>
  <c r="F222" i="4" s="1"/>
  <c r="E221" i="4"/>
  <c r="D217" i="1" s="1"/>
  <c r="F220" i="4"/>
  <c r="F219" i="4"/>
  <c r="F218" i="4"/>
  <c r="F217" i="4"/>
  <c r="E216" i="4"/>
  <c r="D212" i="1" s="1"/>
  <c r="H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H166" i="1" s="1"/>
  <c r="D170" i="4"/>
  <c r="F169" i="4"/>
  <c r="F168" i="4"/>
  <c r="F167" i="4"/>
  <c r="F166" i="4"/>
  <c r="E165" i="4"/>
  <c r="D161" i="1" s="1"/>
  <c r="D165" i="4"/>
  <c r="F163" i="4"/>
  <c r="F162" i="4"/>
  <c r="F161" i="4"/>
  <c r="E160" i="4"/>
  <c r="D156" i="1" s="1"/>
  <c r="D160" i="4"/>
  <c r="F160" i="4" s="1"/>
  <c r="F159" i="4"/>
  <c r="F158" i="4"/>
  <c r="F157" i="4"/>
  <c r="F156" i="4"/>
  <c r="F155" i="4"/>
  <c r="E154" i="4"/>
  <c r="D154" i="4"/>
  <c r="E153" i="4"/>
  <c r="D149" i="1" s="1"/>
  <c r="D153" i="4"/>
  <c r="C149" i="1" s="1"/>
  <c r="F151" i="4"/>
  <c r="F150" i="4"/>
  <c r="F149" i="4"/>
  <c r="F148" i="4"/>
  <c r="F147" i="4"/>
  <c r="F146" i="4"/>
  <c r="F145" i="4"/>
  <c r="F144" i="4"/>
  <c r="F143" i="4"/>
  <c r="F142" i="4"/>
  <c r="E141" i="4"/>
  <c r="D141" i="4"/>
  <c r="E140" i="4"/>
  <c r="D136" i="1" s="1"/>
  <c r="F139" i="4"/>
  <c r="F138" i="4"/>
  <c r="F137" i="4"/>
  <c r="F136" i="4"/>
  <c r="E135" i="4"/>
  <c r="E134" i="4" s="1"/>
  <c r="D130" i="1" s="1"/>
  <c r="D135" i="4"/>
  <c r="F133" i="4"/>
  <c r="F132" i="4"/>
  <c r="F131" i="4"/>
  <c r="F130" i="4"/>
  <c r="E129" i="4"/>
  <c r="F129" i="4" s="1"/>
  <c r="D129" i="4"/>
  <c r="F128" i="4"/>
  <c r="F127" i="4"/>
  <c r="E126" i="4"/>
  <c r="D126" i="4"/>
  <c r="F124" i="4"/>
  <c r="F123" i="4"/>
  <c r="F122" i="4"/>
  <c r="F121" i="4"/>
  <c r="E120" i="4"/>
  <c r="D120" i="4"/>
  <c r="F119" i="4"/>
  <c r="F118" i="4"/>
  <c r="F117" i="4"/>
  <c r="F116" i="4"/>
  <c r="F115" i="4"/>
  <c r="F114" i="4"/>
  <c r="F113" i="4"/>
  <c r="E112" i="4"/>
  <c r="D108" i="1" s="1"/>
  <c r="D112" i="4"/>
  <c r="F112" i="4" s="1"/>
  <c r="F111" i="4"/>
  <c r="F110" i="4"/>
  <c r="F109" i="4"/>
  <c r="F108" i="4"/>
  <c r="F107" i="4"/>
  <c r="E107" i="4"/>
  <c r="D107" i="4"/>
  <c r="D106" i="4"/>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F83" i="4"/>
  <c r="E83" i="4"/>
  <c r="D83" i="4"/>
  <c r="F81" i="4"/>
  <c r="F80" i="4"/>
  <c r="F79" i="4"/>
  <c r="F78" i="4"/>
  <c r="E77" i="4"/>
  <c r="D77" i="4"/>
  <c r="F77" i="4" s="1"/>
  <c r="F76" i="4"/>
  <c r="F75" i="4"/>
  <c r="E74" i="4"/>
  <c r="F74" i="4" s="1"/>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H1686" i="1"/>
  <c r="C1686" i="1"/>
  <c r="G1686" i="1" s="1"/>
  <c r="H1685" i="1"/>
  <c r="C1685" i="1"/>
  <c r="G1685" i="1" s="1"/>
  <c r="G1684" i="1"/>
  <c r="C1684" i="1"/>
  <c r="H1684" i="1" s="1"/>
  <c r="G1683" i="1"/>
  <c r="C1683" i="1"/>
  <c r="H1683" i="1" s="1"/>
  <c r="C1682" i="1"/>
  <c r="H1682" i="1" s="1"/>
  <c r="H1680" i="1"/>
  <c r="G1680" i="1"/>
  <c r="C1680" i="1"/>
  <c r="C1679" i="1"/>
  <c r="C1678" i="1"/>
  <c r="H1677" i="1"/>
  <c r="C1677" i="1"/>
  <c r="G1677" i="1" s="1"/>
  <c r="C1676" i="1"/>
  <c r="H1675" i="1"/>
  <c r="G1675" i="1"/>
  <c r="C1675" i="1"/>
  <c r="C1674" i="1"/>
  <c r="H1674" i="1" s="1"/>
  <c r="H1673" i="1"/>
  <c r="G1673" i="1"/>
  <c r="C1673" i="1"/>
  <c r="H1672" i="1"/>
  <c r="G1672" i="1"/>
  <c r="C1672" i="1"/>
  <c r="C1671" i="1"/>
  <c r="H1670" i="1"/>
  <c r="G1670" i="1"/>
  <c r="C1670" i="1"/>
  <c r="H1669" i="1"/>
  <c r="C1669" i="1"/>
  <c r="G1669" i="1" s="1"/>
  <c r="G1668" i="1"/>
  <c r="C1668" i="1"/>
  <c r="H1668" i="1" s="1"/>
  <c r="H1667" i="1"/>
  <c r="G1667" i="1"/>
  <c r="C1667" i="1"/>
  <c r="C1666" i="1"/>
  <c r="H1666" i="1" s="1"/>
  <c r="G1665" i="1"/>
  <c r="C1665" i="1"/>
  <c r="H1665" i="1" s="1"/>
  <c r="H1664" i="1"/>
  <c r="G1664" i="1"/>
  <c r="C1664" i="1"/>
  <c r="C1663" i="1"/>
  <c r="C1662" i="1"/>
  <c r="H1661" i="1"/>
  <c r="C1661" i="1"/>
  <c r="G1661" i="1" s="1"/>
  <c r="C1660" i="1"/>
  <c r="H1659" i="1"/>
  <c r="G1659" i="1"/>
  <c r="C1659" i="1"/>
  <c r="C1658" i="1"/>
  <c r="H1658" i="1" s="1"/>
  <c r="C1657" i="1"/>
  <c r="G1657" i="1" s="1"/>
  <c r="H1656" i="1"/>
  <c r="G1656" i="1"/>
  <c r="C1656" i="1"/>
  <c r="C1655" i="1"/>
  <c r="H1654" i="1"/>
  <c r="G1654" i="1"/>
  <c r="C1654" i="1"/>
  <c r="H1653" i="1"/>
  <c r="C1653" i="1"/>
  <c r="G1653" i="1" s="1"/>
  <c r="G1652" i="1"/>
  <c r="C1652" i="1"/>
  <c r="H1652" i="1" s="1"/>
  <c r="H1651" i="1"/>
  <c r="G1651" i="1"/>
  <c r="C1651" i="1"/>
  <c r="C1650" i="1"/>
  <c r="H1650" i="1" s="1"/>
  <c r="G1649" i="1"/>
  <c r="C1649" i="1"/>
  <c r="H1649" i="1" s="1"/>
  <c r="H1648" i="1"/>
  <c r="G1648" i="1"/>
  <c r="C1648" i="1"/>
  <c r="C1647" i="1"/>
  <c r="C1646" i="1"/>
  <c r="H1646" i="1" s="1"/>
  <c r="H1645" i="1"/>
  <c r="C1645" i="1"/>
  <c r="G1645" i="1" s="1"/>
  <c r="C1644" i="1"/>
  <c r="H1643" i="1"/>
  <c r="G1643" i="1"/>
  <c r="C1643" i="1"/>
  <c r="C1642" i="1"/>
  <c r="H1642" i="1" s="1"/>
  <c r="H1641" i="1"/>
  <c r="G1641" i="1"/>
  <c r="C1641" i="1"/>
  <c r="H1640" i="1"/>
  <c r="G1640" i="1"/>
  <c r="C1640" i="1"/>
  <c r="C1639" i="1"/>
  <c r="H1638" i="1"/>
  <c r="G1638" i="1"/>
  <c r="C1638" i="1"/>
  <c r="H1637" i="1"/>
  <c r="C1637" i="1"/>
  <c r="G1637" i="1" s="1"/>
  <c r="G1636" i="1"/>
  <c r="C1636" i="1"/>
  <c r="H1636" i="1" s="1"/>
  <c r="H1635" i="1"/>
  <c r="G1635" i="1"/>
  <c r="C1635" i="1"/>
  <c r="C1634" i="1"/>
  <c r="H1634" i="1" s="1"/>
  <c r="C1633" i="1"/>
  <c r="H1632" i="1"/>
  <c r="G1632" i="1"/>
  <c r="C1632" i="1"/>
  <c r="C1631" i="1"/>
  <c r="C1630" i="1"/>
  <c r="H1629" i="1"/>
  <c r="C1629" i="1"/>
  <c r="G1629" i="1" s="1"/>
  <c r="H1627" i="1"/>
  <c r="G1627" i="1"/>
  <c r="C1627" i="1"/>
  <c r="C1626" i="1"/>
  <c r="H1626" i="1" s="1"/>
  <c r="H1625" i="1"/>
  <c r="C1625" i="1"/>
  <c r="G1625" i="1" s="1"/>
  <c r="H1624" i="1"/>
  <c r="G1624" i="1"/>
  <c r="C1624" i="1"/>
  <c r="C1623" i="1"/>
  <c r="G1620" i="1"/>
  <c r="C1620" i="1"/>
  <c r="H1620" i="1" s="1"/>
  <c r="H1619" i="1"/>
  <c r="G1619" i="1"/>
  <c r="C1619" i="1"/>
  <c r="C1618" i="1"/>
  <c r="H1618" i="1" s="1"/>
  <c r="C1617" i="1"/>
  <c r="G1617" i="1" s="1"/>
  <c r="H1616" i="1"/>
  <c r="G1616" i="1"/>
  <c r="C1616" i="1"/>
  <c r="C1615" i="1"/>
  <c r="H1614" i="1"/>
  <c r="G1614" i="1"/>
  <c r="C1614" i="1"/>
  <c r="C1613" i="1"/>
  <c r="G1613" i="1" s="1"/>
  <c r="G1612" i="1"/>
  <c r="C1612" i="1"/>
  <c r="H1612" i="1" s="1"/>
  <c r="H1611" i="1"/>
  <c r="C1611" i="1"/>
  <c r="G1611" i="1" s="1"/>
  <c r="C1610" i="1"/>
  <c r="H1610" i="1" s="1"/>
  <c r="C1609" i="1"/>
  <c r="H1609" i="1" s="1"/>
  <c r="H1608" i="1"/>
  <c r="C1608" i="1"/>
  <c r="G1608" i="1" s="1"/>
  <c r="C1607" i="1"/>
  <c r="C1606" i="1"/>
  <c r="H1606" i="1" s="1"/>
  <c r="C1605" i="1"/>
  <c r="G1605" i="1" s="1"/>
  <c r="H1603" i="1"/>
  <c r="G1603" i="1"/>
  <c r="C1603" i="1"/>
  <c r="G1601" i="1"/>
  <c r="C1601" i="1"/>
  <c r="H1601" i="1" s="1"/>
  <c r="H1600" i="1"/>
  <c r="G1600" i="1"/>
  <c r="C1600" i="1"/>
  <c r="C1599" i="1"/>
  <c r="H1598" i="1"/>
  <c r="C1598" i="1"/>
  <c r="G1598" i="1" s="1"/>
  <c r="H1597" i="1"/>
  <c r="C1597" i="1"/>
  <c r="G1597" i="1" s="1"/>
  <c r="C1596" i="1"/>
  <c r="H1596" i="1" s="1"/>
  <c r="H1595" i="1"/>
  <c r="G1595" i="1"/>
  <c r="C1595" i="1"/>
  <c r="C1594" i="1"/>
  <c r="H1594" i="1" s="1"/>
  <c r="C1593" i="1"/>
  <c r="C1592" i="1"/>
  <c r="H1592" i="1" s="1"/>
  <c r="C1591" i="1"/>
  <c r="H1590" i="1"/>
  <c r="C1590" i="1"/>
  <c r="G1590" i="1" s="1"/>
  <c r="H1589" i="1"/>
  <c r="G1589" i="1"/>
  <c r="C1589" i="1"/>
  <c r="C1588" i="1"/>
  <c r="C1587" i="1"/>
  <c r="G1587" i="1" s="1"/>
  <c r="C1586" i="1"/>
  <c r="H1586" i="1" s="1"/>
  <c r="H1584" i="1"/>
  <c r="G1584" i="1"/>
  <c r="C1584" i="1"/>
  <c r="H1582" i="1"/>
  <c r="G1582" i="1"/>
  <c r="C1582" i="1"/>
  <c r="D1581" i="1"/>
  <c r="C1581" i="1"/>
  <c r="J1580" i="1"/>
  <c r="H1580" i="1"/>
  <c r="D1580" i="1"/>
  <c r="C1580" i="1"/>
  <c r="G1580" i="1" s="1"/>
  <c r="I1580" i="1" s="1"/>
  <c r="J1579" i="1"/>
  <c r="H1579" i="1"/>
  <c r="G1579" i="1"/>
  <c r="D1579" i="1"/>
  <c r="C1579" i="1"/>
  <c r="G1578" i="1"/>
  <c r="D1578" i="1"/>
  <c r="C1578" i="1"/>
  <c r="J1578" i="1" s="1"/>
  <c r="H1577" i="1"/>
  <c r="D1577" i="1"/>
  <c r="C1577" i="1"/>
  <c r="G1577" i="1" s="1"/>
  <c r="J1576" i="1"/>
  <c r="H1576" i="1"/>
  <c r="I1576" i="1" s="1"/>
  <c r="G1576" i="1"/>
  <c r="D1576" i="1"/>
  <c r="C1576" i="1"/>
  <c r="H1575" i="1"/>
  <c r="D1575" i="1"/>
  <c r="C1575" i="1"/>
  <c r="D1574" i="1"/>
  <c r="C1574" i="1"/>
  <c r="J1573" i="1"/>
  <c r="I1573" i="1"/>
  <c r="H1573" i="1"/>
  <c r="D1573" i="1"/>
  <c r="C1573" i="1"/>
  <c r="G1573" i="1" s="1"/>
  <c r="D1572" i="1"/>
  <c r="C1572" i="1"/>
  <c r="D1571" i="1"/>
  <c r="J1570" i="1"/>
  <c r="H1570" i="1"/>
  <c r="G1570" i="1"/>
  <c r="I1570" i="1" s="1"/>
  <c r="D1570" i="1"/>
  <c r="C1570" i="1"/>
  <c r="H1569" i="1"/>
  <c r="G1569" i="1"/>
  <c r="I1569" i="1" s="1"/>
  <c r="D1569" i="1"/>
  <c r="C1569" i="1"/>
  <c r="D1568" i="1"/>
  <c r="C1568" i="1"/>
  <c r="J1567" i="1"/>
  <c r="H1567" i="1"/>
  <c r="D1567" i="1"/>
  <c r="C1567" i="1"/>
  <c r="G1567" i="1" s="1"/>
  <c r="I1567" i="1" s="1"/>
  <c r="H1566" i="1"/>
  <c r="G1566" i="1"/>
  <c r="I1566" i="1" s="1"/>
  <c r="D1566" i="1"/>
  <c r="J1566" i="1" s="1"/>
  <c r="C1566" i="1"/>
  <c r="H1565" i="1"/>
  <c r="G1565" i="1"/>
  <c r="D1565" i="1"/>
  <c r="C1565" i="1"/>
  <c r="D1564" i="1"/>
  <c r="J1564" i="1" s="1"/>
  <c r="C1564" i="1"/>
  <c r="D1563" i="1"/>
  <c r="D1562" i="1"/>
  <c r="C1562" i="1"/>
  <c r="D1561" i="1"/>
  <c r="C1561" i="1"/>
  <c r="J1560" i="1"/>
  <c r="H1560" i="1"/>
  <c r="D1560" i="1"/>
  <c r="C1560" i="1"/>
  <c r="G1560" i="1" s="1"/>
  <c r="I1560" i="1" s="1"/>
  <c r="J1559" i="1"/>
  <c r="I1559" i="1"/>
  <c r="H1559" i="1"/>
  <c r="G1559" i="1"/>
  <c r="D1559" i="1"/>
  <c r="C1559" i="1"/>
  <c r="D1558" i="1"/>
  <c r="C1558" i="1"/>
  <c r="D1557" i="1"/>
  <c r="J1557" i="1" s="1"/>
  <c r="C1557" i="1"/>
  <c r="C1556" i="1"/>
  <c r="J1554" i="1"/>
  <c r="H1554" i="1"/>
  <c r="D1554" i="1"/>
  <c r="C1554" i="1"/>
  <c r="G1554" i="1" s="1"/>
  <c r="I1554" i="1" s="1"/>
  <c r="J1553" i="1"/>
  <c r="H1553" i="1"/>
  <c r="G1553" i="1"/>
  <c r="I1553" i="1" s="1"/>
  <c r="D1553" i="1"/>
  <c r="C1553" i="1"/>
  <c r="H1552" i="1"/>
  <c r="G1552" i="1"/>
  <c r="I1552" i="1" s="1"/>
  <c r="D1552" i="1"/>
  <c r="C1552" i="1"/>
  <c r="J1552" i="1" s="1"/>
  <c r="D1551" i="1"/>
  <c r="J1551" i="1" s="1"/>
  <c r="C1551" i="1"/>
  <c r="J1550" i="1"/>
  <c r="I1550" i="1"/>
  <c r="H1550" i="1"/>
  <c r="D1550" i="1"/>
  <c r="C1550" i="1"/>
  <c r="G1550" i="1" s="1"/>
  <c r="J1549" i="1"/>
  <c r="D1549" i="1"/>
  <c r="C1549" i="1"/>
  <c r="G1548" i="1"/>
  <c r="D1548" i="1"/>
  <c r="C1548" i="1"/>
  <c r="D1547" i="1"/>
  <c r="C1547" i="1"/>
  <c r="J1546" i="1"/>
  <c r="H1546" i="1"/>
  <c r="G1546" i="1"/>
  <c r="I1546" i="1" s="1"/>
  <c r="D1546" i="1"/>
  <c r="C1546" i="1"/>
  <c r="D1545" i="1"/>
  <c r="C1545" i="1"/>
  <c r="D1544" i="1"/>
  <c r="G1544" i="1" s="1"/>
  <c r="C1544" i="1"/>
  <c r="D1543" i="1"/>
  <c r="C1543" i="1"/>
  <c r="J1543" i="1" s="1"/>
  <c r="D1542" i="1"/>
  <c r="J1542" i="1" s="1"/>
  <c r="C1542" i="1"/>
  <c r="D1541" i="1"/>
  <c r="C1541" i="1"/>
  <c r="D1540" i="1"/>
  <c r="C1540" i="1"/>
  <c r="C1539" i="1"/>
  <c r="D1536" i="1"/>
  <c r="C1536" i="1"/>
  <c r="H1535" i="1"/>
  <c r="G1535" i="1"/>
  <c r="D1535" i="1"/>
  <c r="C1535" i="1"/>
  <c r="G1534" i="1"/>
  <c r="D1534" i="1"/>
  <c r="C1534" i="1"/>
  <c r="H1534" i="1" s="1"/>
  <c r="H1533" i="1"/>
  <c r="G1533" i="1"/>
  <c r="D1533" i="1"/>
  <c r="C1533" i="1"/>
  <c r="D1532" i="1"/>
  <c r="G1532" i="1" s="1"/>
  <c r="C1532" i="1"/>
  <c r="D1531" i="1"/>
  <c r="H1531" i="1" s="1"/>
  <c r="C1531" i="1"/>
  <c r="D1530" i="1"/>
  <c r="G1530" i="1" s="1"/>
  <c r="C1530" i="1"/>
  <c r="H1530" i="1" s="1"/>
  <c r="D1529" i="1"/>
  <c r="H1529" i="1" s="1"/>
  <c r="C1529" i="1"/>
  <c r="G1528" i="1"/>
  <c r="D1528" i="1"/>
  <c r="C1528" i="1"/>
  <c r="H1528" i="1" s="1"/>
  <c r="H1527" i="1"/>
  <c r="D1527" i="1"/>
  <c r="G1527" i="1" s="1"/>
  <c r="C1527" i="1"/>
  <c r="G1526" i="1"/>
  <c r="D1526" i="1"/>
  <c r="C1526" i="1"/>
  <c r="H1525" i="1"/>
  <c r="G1525" i="1"/>
  <c r="D1525" i="1"/>
  <c r="C1525" i="1"/>
  <c r="D1524" i="1"/>
  <c r="G1524" i="1" s="1"/>
  <c r="C1524" i="1"/>
  <c r="D1523" i="1"/>
  <c r="C1523" i="1"/>
  <c r="D1522" i="1"/>
  <c r="G1522" i="1" s="1"/>
  <c r="C1522" i="1"/>
  <c r="H1521" i="1"/>
  <c r="D1521" i="1"/>
  <c r="G1521" i="1" s="1"/>
  <c r="C1521" i="1"/>
  <c r="D1520" i="1"/>
  <c r="G1520" i="1" s="1"/>
  <c r="C1520" i="1"/>
  <c r="H1520" i="1" s="1"/>
  <c r="H1519" i="1"/>
  <c r="G1519" i="1"/>
  <c r="D1519" i="1"/>
  <c r="C1519" i="1"/>
  <c r="D1518" i="1"/>
  <c r="G1518" i="1" s="1"/>
  <c r="C1518" i="1"/>
  <c r="H1517" i="1"/>
  <c r="G1517" i="1"/>
  <c r="D1517" i="1"/>
  <c r="C1517" i="1"/>
  <c r="D1516" i="1"/>
  <c r="G1516" i="1" s="1"/>
  <c r="C1516" i="1"/>
  <c r="G1515" i="1"/>
  <c r="D1515" i="1"/>
  <c r="H1515" i="1" s="1"/>
  <c r="C1515" i="1"/>
  <c r="D1514" i="1"/>
  <c r="G1514" i="1" s="1"/>
  <c r="C1514" i="1"/>
  <c r="D1513" i="1"/>
  <c r="H1513" i="1" s="1"/>
  <c r="C1513" i="1"/>
  <c r="D1512" i="1"/>
  <c r="G1512" i="1" s="1"/>
  <c r="C1512" i="1"/>
  <c r="C1511" i="1"/>
  <c r="D1509" i="1"/>
  <c r="C1509" i="1"/>
  <c r="G1508" i="1"/>
  <c r="D1508" i="1"/>
  <c r="C1508" i="1"/>
  <c r="H1508" i="1" s="1"/>
  <c r="D1507" i="1"/>
  <c r="G1507" i="1" s="1"/>
  <c r="C1507" i="1"/>
  <c r="D1506" i="1"/>
  <c r="G1506" i="1" s="1"/>
  <c r="C1506" i="1"/>
  <c r="H1505" i="1"/>
  <c r="G1505" i="1"/>
  <c r="D1505" i="1"/>
  <c r="C1505" i="1"/>
  <c r="D1504" i="1"/>
  <c r="G1504" i="1" s="1"/>
  <c r="C1504" i="1"/>
  <c r="H1504" i="1" s="1"/>
  <c r="D1502" i="1"/>
  <c r="G1502" i="1" s="1"/>
  <c r="C1502" i="1"/>
  <c r="H1502" i="1" s="1"/>
  <c r="D1501" i="1"/>
  <c r="H1501" i="1" s="1"/>
  <c r="C1501" i="1"/>
  <c r="D1500" i="1"/>
  <c r="G1500" i="1" s="1"/>
  <c r="C1500" i="1"/>
  <c r="H1499" i="1"/>
  <c r="D1499" i="1"/>
  <c r="G1499" i="1" s="1"/>
  <c r="C1499" i="1"/>
  <c r="G1498" i="1"/>
  <c r="D1498" i="1"/>
  <c r="C1498" i="1"/>
  <c r="H1497" i="1"/>
  <c r="G1497" i="1"/>
  <c r="D1497" i="1"/>
  <c r="C1497" i="1"/>
  <c r="D1496" i="1"/>
  <c r="G1496" i="1" s="1"/>
  <c r="C1496" i="1"/>
  <c r="D1495" i="1"/>
  <c r="C1495" i="1"/>
  <c r="D1494" i="1"/>
  <c r="G1494" i="1" s="1"/>
  <c r="C1494" i="1"/>
  <c r="H1493" i="1"/>
  <c r="D1493" i="1"/>
  <c r="G1493" i="1" s="1"/>
  <c r="C1493" i="1"/>
  <c r="D1492" i="1"/>
  <c r="G1492" i="1" s="1"/>
  <c r="C1492" i="1"/>
  <c r="H1492" i="1" s="1"/>
  <c r="H1491" i="1"/>
  <c r="G1491" i="1"/>
  <c r="D1491" i="1"/>
  <c r="C1491" i="1"/>
  <c r="G1489" i="1"/>
  <c r="D1489" i="1"/>
  <c r="H1489" i="1" s="1"/>
  <c r="C1489" i="1"/>
  <c r="D1488" i="1"/>
  <c r="G1488" i="1" s="1"/>
  <c r="C1488" i="1"/>
  <c r="H1488" i="1" s="1"/>
  <c r="D1487" i="1"/>
  <c r="H1487" i="1" s="1"/>
  <c r="C1487" i="1"/>
  <c r="G1486" i="1"/>
  <c r="D1486" i="1"/>
  <c r="C1486" i="1"/>
  <c r="H1486" i="1" s="1"/>
  <c r="D1484" i="1"/>
  <c r="G1484" i="1" s="1"/>
  <c r="C1484" i="1"/>
  <c r="D1483" i="1"/>
  <c r="C1483" i="1"/>
  <c r="D1482" i="1"/>
  <c r="G1482" i="1" s="1"/>
  <c r="C1482" i="1"/>
  <c r="H1481" i="1"/>
  <c r="D1481" i="1"/>
  <c r="G1481" i="1" s="1"/>
  <c r="C1481" i="1"/>
  <c r="D1480" i="1"/>
  <c r="G1480" i="1" s="1"/>
  <c r="C1480" i="1"/>
  <c r="H1479" i="1"/>
  <c r="G1479" i="1"/>
  <c r="D1479" i="1"/>
  <c r="C1479" i="1"/>
  <c r="D1478" i="1"/>
  <c r="G1478" i="1" s="1"/>
  <c r="C1478" i="1"/>
  <c r="H1477" i="1"/>
  <c r="G1477" i="1"/>
  <c r="D1477" i="1"/>
  <c r="C1477" i="1"/>
  <c r="D1476" i="1"/>
  <c r="G1476" i="1" s="1"/>
  <c r="C1476" i="1"/>
  <c r="G1475" i="1"/>
  <c r="D1475" i="1"/>
  <c r="H1475" i="1" s="1"/>
  <c r="C1475" i="1"/>
  <c r="D1474" i="1"/>
  <c r="G1474" i="1" s="1"/>
  <c r="C1474" i="1"/>
  <c r="H1474" i="1" s="1"/>
  <c r="D1473" i="1"/>
  <c r="H1473" i="1" s="1"/>
  <c r="C1473" i="1"/>
  <c r="G1472" i="1"/>
  <c r="D1472" i="1"/>
  <c r="C1472" i="1"/>
  <c r="H1472" i="1" s="1"/>
  <c r="C1471" i="1"/>
  <c r="D1470" i="1"/>
  <c r="G1470" i="1" s="1"/>
  <c r="C1470" i="1"/>
  <c r="H1469" i="1"/>
  <c r="G1469" i="1"/>
  <c r="D1469" i="1"/>
  <c r="C1469" i="1"/>
  <c r="D1468" i="1"/>
  <c r="G1468" i="1" s="1"/>
  <c r="C1468" i="1"/>
  <c r="D1467" i="1"/>
  <c r="C1467" i="1"/>
  <c r="G1466" i="1"/>
  <c r="D1466" i="1"/>
  <c r="C1466" i="1"/>
  <c r="H1465" i="1"/>
  <c r="D1465" i="1"/>
  <c r="G1465" i="1" s="1"/>
  <c r="C1465" i="1"/>
  <c r="D1464" i="1"/>
  <c r="G1464" i="1" s="1"/>
  <c r="C1464" i="1"/>
  <c r="H1463" i="1"/>
  <c r="G1463" i="1"/>
  <c r="D1463" i="1"/>
  <c r="C1463" i="1"/>
  <c r="G1462" i="1"/>
  <c r="D1462" i="1"/>
  <c r="C1462" i="1"/>
  <c r="H1462" i="1" s="1"/>
  <c r="H1461" i="1"/>
  <c r="G1461" i="1"/>
  <c r="D1461" i="1"/>
  <c r="C1461" i="1"/>
  <c r="D1460" i="1"/>
  <c r="G1460" i="1" s="1"/>
  <c r="C1460" i="1"/>
  <c r="G1459" i="1"/>
  <c r="D1459" i="1"/>
  <c r="H1459" i="1" s="1"/>
  <c r="C1459" i="1"/>
  <c r="D1458" i="1"/>
  <c r="C1458" i="1"/>
  <c r="D1457" i="1"/>
  <c r="H1457" i="1" s="1"/>
  <c r="C1457" i="1"/>
  <c r="D1456" i="1"/>
  <c r="G1456" i="1" s="1"/>
  <c r="C1456" i="1"/>
  <c r="H1455" i="1"/>
  <c r="D1455" i="1"/>
  <c r="G1455" i="1" s="1"/>
  <c r="C1455" i="1"/>
  <c r="G1454" i="1"/>
  <c r="D1454" i="1"/>
  <c r="C1454" i="1"/>
  <c r="H1453" i="1"/>
  <c r="G1453" i="1"/>
  <c r="D1453" i="1"/>
  <c r="C1453" i="1"/>
  <c r="D1452" i="1"/>
  <c r="C1452" i="1"/>
  <c r="D1451" i="1"/>
  <c r="C1451" i="1"/>
  <c r="C1450" i="1"/>
  <c r="H1449" i="1"/>
  <c r="D1449" i="1"/>
  <c r="G1449" i="1" s="1"/>
  <c r="C1449" i="1"/>
  <c r="D1448" i="1"/>
  <c r="C1448" i="1"/>
  <c r="H1447" i="1"/>
  <c r="G1447" i="1"/>
  <c r="D1447" i="1"/>
  <c r="C1447" i="1"/>
  <c r="D1446" i="1"/>
  <c r="C1446" i="1"/>
  <c r="H1445" i="1"/>
  <c r="D1445" i="1"/>
  <c r="G1445" i="1" s="1"/>
  <c r="C1445" i="1"/>
  <c r="D1444" i="1"/>
  <c r="G1444" i="1" s="1"/>
  <c r="C1444" i="1"/>
  <c r="G1443" i="1"/>
  <c r="D1443" i="1"/>
  <c r="H1443" i="1" s="1"/>
  <c r="C1443" i="1"/>
  <c r="D1442" i="1"/>
  <c r="C1442" i="1"/>
  <c r="D1441" i="1"/>
  <c r="C1441" i="1"/>
  <c r="G1440" i="1"/>
  <c r="D1440" i="1"/>
  <c r="C1440" i="1"/>
  <c r="H1440" i="1" s="1"/>
  <c r="H1439" i="1"/>
  <c r="D1439" i="1"/>
  <c r="C1439" i="1"/>
  <c r="G1439" i="1" s="1"/>
  <c r="D1438" i="1"/>
  <c r="G1438" i="1" s="1"/>
  <c r="C1438" i="1"/>
  <c r="D1437" i="1"/>
  <c r="C1437" i="1"/>
  <c r="H1437" i="1" s="1"/>
  <c r="D1436" i="1"/>
  <c r="C1436" i="1"/>
  <c r="D1435" i="1"/>
  <c r="G1435" i="1" s="1"/>
  <c r="C1435" i="1"/>
  <c r="H1435" i="1" s="1"/>
  <c r="D1434" i="1"/>
  <c r="C1434" i="1"/>
  <c r="D1433" i="1"/>
  <c r="C1433" i="1"/>
  <c r="G1433" i="1" s="1"/>
  <c r="D1432" i="1"/>
  <c r="C1432" i="1"/>
  <c r="D1430" i="1"/>
  <c r="C1430" i="1"/>
  <c r="D1429" i="1"/>
  <c r="C1429" i="1"/>
  <c r="G1429" i="1" s="1"/>
  <c r="G1428" i="1"/>
  <c r="D1428" i="1"/>
  <c r="C1428" i="1"/>
  <c r="H1428" i="1" s="1"/>
  <c r="D1427" i="1"/>
  <c r="C1427" i="1"/>
  <c r="D1426" i="1"/>
  <c r="C1426" i="1"/>
  <c r="D1425" i="1"/>
  <c r="C1425" i="1"/>
  <c r="G1425" i="1" s="1"/>
  <c r="C1424" i="1"/>
  <c r="H1423" i="1"/>
  <c r="D1423" i="1"/>
  <c r="C1423" i="1"/>
  <c r="G1423" i="1" s="1"/>
  <c r="D1422" i="1"/>
  <c r="C1422" i="1"/>
  <c r="H1421" i="1"/>
  <c r="D1421" i="1"/>
  <c r="C1421" i="1"/>
  <c r="G1421" i="1" s="1"/>
  <c r="G1420" i="1"/>
  <c r="D1420" i="1"/>
  <c r="C1420" i="1"/>
  <c r="D1419" i="1"/>
  <c r="C1419" i="1"/>
  <c r="G1418" i="1"/>
  <c r="D1418" i="1"/>
  <c r="C1418" i="1"/>
  <c r="H1418" i="1" s="1"/>
  <c r="D1417" i="1"/>
  <c r="C1417" i="1"/>
  <c r="G1417" i="1" s="1"/>
  <c r="D1416" i="1"/>
  <c r="G1416" i="1" s="1"/>
  <c r="C1416" i="1"/>
  <c r="H1415" i="1"/>
  <c r="D1415" i="1"/>
  <c r="C1415" i="1"/>
  <c r="G1415" i="1" s="1"/>
  <c r="D1414" i="1"/>
  <c r="C1414" i="1"/>
  <c r="D1413" i="1"/>
  <c r="C1413" i="1"/>
  <c r="G1413" i="1" s="1"/>
  <c r="D1412" i="1"/>
  <c r="G1412" i="1" s="1"/>
  <c r="C1412" i="1"/>
  <c r="D1411" i="1"/>
  <c r="C1411" i="1"/>
  <c r="D1410" i="1"/>
  <c r="C1410" i="1"/>
  <c r="C1409" i="1"/>
  <c r="G1408" i="1"/>
  <c r="D1408" i="1"/>
  <c r="C1408" i="1"/>
  <c r="H1408" i="1" s="1"/>
  <c r="H1407" i="1"/>
  <c r="D1407" i="1"/>
  <c r="C1407" i="1"/>
  <c r="G1407" i="1" s="1"/>
  <c r="D1406" i="1"/>
  <c r="C1406" i="1"/>
  <c r="H1405" i="1"/>
  <c r="D1405" i="1"/>
  <c r="C1405" i="1"/>
  <c r="G1405" i="1" s="1"/>
  <c r="G1404" i="1"/>
  <c r="D1404" i="1"/>
  <c r="C1404" i="1"/>
  <c r="H1404" i="1" s="1"/>
  <c r="D1403" i="1"/>
  <c r="C1403" i="1"/>
  <c r="C1402" i="1"/>
  <c r="C1401" i="1"/>
  <c r="D1400" i="1"/>
  <c r="C1400" i="1"/>
  <c r="H1399" i="1"/>
  <c r="D1399" i="1"/>
  <c r="C1399" i="1"/>
  <c r="G1399" i="1" s="1"/>
  <c r="D1398" i="1"/>
  <c r="C1398" i="1"/>
  <c r="D1397" i="1"/>
  <c r="C1397" i="1"/>
  <c r="G1396" i="1"/>
  <c r="D1396" i="1"/>
  <c r="C1396" i="1"/>
  <c r="H1396" i="1" s="1"/>
  <c r="D1395" i="1"/>
  <c r="C1395" i="1"/>
  <c r="D1394" i="1"/>
  <c r="C1394" i="1"/>
  <c r="D1393" i="1"/>
  <c r="C1393" i="1"/>
  <c r="G1393" i="1" s="1"/>
  <c r="D1392" i="1"/>
  <c r="C1392" i="1"/>
  <c r="D1391" i="1"/>
  <c r="H1391" i="1" s="1"/>
  <c r="C1391" i="1"/>
  <c r="D1390" i="1"/>
  <c r="C1390" i="1"/>
  <c r="D1389" i="1"/>
  <c r="C1389" i="1"/>
  <c r="G1388" i="1"/>
  <c r="D1388" i="1"/>
  <c r="C1388" i="1"/>
  <c r="H1388" i="1" s="1"/>
  <c r="D1387" i="1"/>
  <c r="C1387" i="1"/>
  <c r="D1386" i="1"/>
  <c r="C1386" i="1"/>
  <c r="D1385" i="1"/>
  <c r="C1385" i="1"/>
  <c r="D1384" i="1"/>
  <c r="G1384" i="1" s="1"/>
  <c r="C1384" i="1"/>
  <c r="H1383" i="1"/>
  <c r="D1383" i="1"/>
  <c r="C1383" i="1"/>
  <c r="G1383" i="1" s="1"/>
  <c r="D1382" i="1"/>
  <c r="C1382" i="1"/>
  <c r="H1381" i="1"/>
  <c r="D1381" i="1"/>
  <c r="C1381" i="1"/>
  <c r="G1381" i="1" s="1"/>
  <c r="G1380" i="1"/>
  <c r="D1380" i="1"/>
  <c r="C1380" i="1"/>
  <c r="H1380" i="1" s="1"/>
  <c r="D1379" i="1"/>
  <c r="C1379" i="1"/>
  <c r="G1378" i="1"/>
  <c r="D1378" i="1"/>
  <c r="C1378" i="1"/>
  <c r="D1377" i="1"/>
  <c r="C1377" i="1"/>
  <c r="G1377" i="1" s="1"/>
  <c r="D1376" i="1"/>
  <c r="C1376" i="1"/>
  <c r="H1376" i="1" s="1"/>
  <c r="H1375" i="1"/>
  <c r="D1375" i="1"/>
  <c r="C1375" i="1"/>
  <c r="G1375" i="1" s="1"/>
  <c r="D1374" i="1"/>
  <c r="C1374" i="1"/>
  <c r="D1373" i="1"/>
  <c r="C1373" i="1"/>
  <c r="G1373" i="1" s="1"/>
  <c r="G1372" i="1"/>
  <c r="D1372" i="1"/>
  <c r="C1372" i="1"/>
  <c r="H1372" i="1" s="1"/>
  <c r="D1371" i="1"/>
  <c r="C1371" i="1"/>
  <c r="D1370" i="1"/>
  <c r="C1370" i="1"/>
  <c r="H1370" i="1" s="1"/>
  <c r="D1369" i="1"/>
  <c r="C1369" i="1"/>
  <c r="G1369" i="1" s="1"/>
  <c r="D1368" i="1"/>
  <c r="G1368" i="1" s="1"/>
  <c r="C1368" i="1"/>
  <c r="H1367" i="1"/>
  <c r="D1367" i="1"/>
  <c r="C1367" i="1"/>
  <c r="G1367" i="1" s="1"/>
  <c r="D1366" i="1"/>
  <c r="C1366" i="1"/>
  <c r="H1365" i="1"/>
  <c r="D1365" i="1"/>
  <c r="C1365" i="1"/>
  <c r="G1365" i="1" s="1"/>
  <c r="G1364" i="1"/>
  <c r="D1364" i="1"/>
  <c r="C1364" i="1"/>
  <c r="D1363" i="1"/>
  <c r="C1363" i="1"/>
  <c r="D1362" i="1"/>
  <c r="G1362" i="1" s="1"/>
  <c r="C1362" i="1"/>
  <c r="D1361" i="1"/>
  <c r="C1361" i="1"/>
  <c r="G1361" i="1" s="1"/>
  <c r="D1360" i="1"/>
  <c r="C1360" i="1"/>
  <c r="D1359" i="1"/>
  <c r="H1359" i="1" s="1"/>
  <c r="C1359" i="1"/>
  <c r="D1358" i="1"/>
  <c r="C1358" i="1"/>
  <c r="H1357" i="1"/>
  <c r="D1357" i="1"/>
  <c r="C1357" i="1"/>
  <c r="G1357" i="1" s="1"/>
  <c r="G1356" i="1"/>
  <c r="D1356" i="1"/>
  <c r="C1356" i="1"/>
  <c r="D1355" i="1"/>
  <c r="C1355" i="1"/>
  <c r="G1354" i="1"/>
  <c r="D1354" i="1"/>
  <c r="C1354" i="1"/>
  <c r="H1354" i="1" s="1"/>
  <c r="D1353" i="1"/>
  <c r="C1353" i="1"/>
  <c r="G1353" i="1" s="1"/>
  <c r="D1352" i="1"/>
  <c r="C1352" i="1"/>
  <c r="D1351" i="1"/>
  <c r="H1351" i="1" s="1"/>
  <c r="C1351" i="1"/>
  <c r="D1350" i="1"/>
  <c r="C1350" i="1"/>
  <c r="D1349" i="1"/>
  <c r="C1349" i="1"/>
  <c r="G1348" i="1"/>
  <c r="D1348" i="1"/>
  <c r="C1348" i="1"/>
  <c r="D1347" i="1"/>
  <c r="C1347" i="1"/>
  <c r="G1346" i="1"/>
  <c r="D1346" i="1"/>
  <c r="H1346" i="1" s="1"/>
  <c r="C1346" i="1"/>
  <c r="D1345" i="1"/>
  <c r="C1345" i="1"/>
  <c r="D1344" i="1"/>
  <c r="C1344" i="1"/>
  <c r="D1343" i="1"/>
  <c r="C1343" i="1"/>
  <c r="D1342" i="1"/>
  <c r="H1342" i="1" s="1"/>
  <c r="C1342" i="1"/>
  <c r="D1341" i="1"/>
  <c r="C1341" i="1"/>
  <c r="D1340" i="1"/>
  <c r="C1340" i="1"/>
  <c r="H1340" i="1" s="1"/>
  <c r="D1339" i="1"/>
  <c r="C1339" i="1"/>
  <c r="G1338" i="1"/>
  <c r="D1338" i="1"/>
  <c r="C1338" i="1"/>
  <c r="H1338" i="1" s="1"/>
  <c r="D1337" i="1"/>
  <c r="C1337" i="1"/>
  <c r="D1336" i="1"/>
  <c r="C1336" i="1"/>
  <c r="D1335" i="1"/>
  <c r="C1335" i="1"/>
  <c r="H1334" i="1"/>
  <c r="G1334" i="1"/>
  <c r="D1334" i="1"/>
  <c r="C1334" i="1"/>
  <c r="D1333" i="1"/>
  <c r="C1333" i="1"/>
  <c r="D1332" i="1"/>
  <c r="C1332" i="1"/>
  <c r="H1332" i="1" s="1"/>
  <c r="D1331" i="1"/>
  <c r="C1331" i="1"/>
  <c r="G1330" i="1"/>
  <c r="D1330" i="1"/>
  <c r="C1330" i="1"/>
  <c r="H1330" i="1" s="1"/>
  <c r="D1329" i="1"/>
  <c r="C1329" i="1"/>
  <c r="D1328" i="1"/>
  <c r="C1328" i="1"/>
  <c r="D1327" i="1"/>
  <c r="C1327" i="1"/>
  <c r="H1326" i="1"/>
  <c r="G1326" i="1"/>
  <c r="D1326" i="1"/>
  <c r="C1326" i="1"/>
  <c r="D1325" i="1"/>
  <c r="C1325" i="1"/>
  <c r="D1324" i="1"/>
  <c r="C1324" i="1"/>
  <c r="H1324" i="1" s="1"/>
  <c r="D1323" i="1"/>
  <c r="C1323" i="1"/>
  <c r="G1322" i="1"/>
  <c r="D1322" i="1"/>
  <c r="C1322" i="1"/>
  <c r="H1322" i="1" s="1"/>
  <c r="D1321" i="1"/>
  <c r="C1321" i="1"/>
  <c r="D1320" i="1"/>
  <c r="C1320" i="1"/>
  <c r="D1319" i="1"/>
  <c r="C1319" i="1"/>
  <c r="H1318" i="1"/>
  <c r="G1318" i="1"/>
  <c r="D1318" i="1"/>
  <c r="C1318" i="1"/>
  <c r="D1317" i="1"/>
  <c r="C1317" i="1"/>
  <c r="D1316" i="1"/>
  <c r="C1316" i="1"/>
  <c r="D1315" i="1"/>
  <c r="C1315" i="1"/>
  <c r="D1314" i="1"/>
  <c r="G1314" i="1" s="1"/>
  <c r="C1314" i="1"/>
  <c r="H1314" i="1" s="1"/>
  <c r="D1313" i="1"/>
  <c r="C1313" i="1"/>
  <c r="D1312" i="1"/>
  <c r="C1312" i="1"/>
  <c r="D1311" i="1"/>
  <c r="C1311" i="1"/>
  <c r="H1310" i="1"/>
  <c r="G1310" i="1"/>
  <c r="D1310" i="1"/>
  <c r="C1310" i="1"/>
  <c r="D1309" i="1"/>
  <c r="C1309" i="1"/>
  <c r="D1308" i="1"/>
  <c r="C1308" i="1"/>
  <c r="D1307" i="1"/>
  <c r="C1307" i="1"/>
  <c r="D1306" i="1"/>
  <c r="G1306" i="1" s="1"/>
  <c r="C1306" i="1"/>
  <c r="H1306" i="1" s="1"/>
  <c r="D1305" i="1"/>
  <c r="C1305" i="1"/>
  <c r="D1304" i="1"/>
  <c r="C1304" i="1"/>
  <c r="D1303" i="1"/>
  <c r="C1303" i="1"/>
  <c r="H1302" i="1"/>
  <c r="G1302" i="1"/>
  <c r="D1302" i="1"/>
  <c r="C1302" i="1"/>
  <c r="D1301" i="1"/>
  <c r="C1301" i="1"/>
  <c r="C1300" i="1"/>
  <c r="D1299" i="1"/>
  <c r="C1299" i="1"/>
  <c r="D1298" i="1"/>
  <c r="G1298" i="1" s="1"/>
  <c r="C1298" i="1"/>
  <c r="H1298" i="1" s="1"/>
  <c r="D1297" i="1"/>
  <c r="C1297" i="1"/>
  <c r="D1296" i="1"/>
  <c r="C1296" i="1"/>
  <c r="C1295" i="1"/>
  <c r="D1294" i="1"/>
  <c r="H1294" i="1" s="1"/>
  <c r="C1294" i="1"/>
  <c r="D1293" i="1"/>
  <c r="C1293" i="1"/>
  <c r="D1292" i="1"/>
  <c r="C1292" i="1"/>
  <c r="D1291" i="1"/>
  <c r="C1291" i="1"/>
  <c r="D1290" i="1"/>
  <c r="G1290" i="1" s="1"/>
  <c r="C1290" i="1"/>
  <c r="D1289" i="1"/>
  <c r="C1289" i="1"/>
  <c r="D1288" i="1"/>
  <c r="C1288" i="1"/>
  <c r="D1287" i="1"/>
  <c r="C1287" i="1"/>
  <c r="H1286" i="1"/>
  <c r="G1286" i="1"/>
  <c r="D1286" i="1"/>
  <c r="C1286" i="1"/>
  <c r="D1285" i="1"/>
  <c r="C1285" i="1"/>
  <c r="D1284" i="1"/>
  <c r="C1284" i="1"/>
  <c r="H1284" i="1" s="1"/>
  <c r="D1283" i="1"/>
  <c r="C1283" i="1"/>
  <c r="G1282" i="1"/>
  <c r="D1282" i="1"/>
  <c r="C1282" i="1"/>
  <c r="C1281" i="1"/>
  <c r="D1280" i="1"/>
  <c r="C1280" i="1"/>
  <c r="D1279" i="1"/>
  <c r="C1279" i="1"/>
  <c r="C1278" i="1"/>
  <c r="D1277" i="1"/>
  <c r="C1277" i="1"/>
  <c r="D1276" i="1"/>
  <c r="C1276" i="1"/>
  <c r="H1276" i="1" s="1"/>
  <c r="D1275" i="1"/>
  <c r="C1275" i="1"/>
  <c r="D1274" i="1"/>
  <c r="G1274" i="1" s="1"/>
  <c r="C1274" i="1"/>
  <c r="H1274" i="1" s="1"/>
  <c r="D1273" i="1"/>
  <c r="C1273" i="1"/>
  <c r="D1272" i="1"/>
  <c r="C1272" i="1"/>
  <c r="D1271" i="1"/>
  <c r="C1271" i="1"/>
  <c r="D1270" i="1"/>
  <c r="G1270" i="1" s="1"/>
  <c r="C1270" i="1"/>
  <c r="D1269" i="1"/>
  <c r="C1269" i="1"/>
  <c r="C1268" i="1"/>
  <c r="D1267" i="1"/>
  <c r="C1267" i="1"/>
  <c r="G1266" i="1"/>
  <c r="D1266" i="1"/>
  <c r="C1266" i="1"/>
  <c r="H1266" i="1" s="1"/>
  <c r="D1265" i="1"/>
  <c r="C1265" i="1"/>
  <c r="D1264" i="1"/>
  <c r="D1263" i="1"/>
  <c r="C1263" i="1"/>
  <c r="D1262" i="1"/>
  <c r="H1262" i="1" s="1"/>
  <c r="C1262" i="1"/>
  <c r="D1261" i="1"/>
  <c r="C1261" i="1"/>
  <c r="C1260" i="1"/>
  <c r="D1258" i="1"/>
  <c r="H1258" i="1" s="1"/>
  <c r="C1258" i="1"/>
  <c r="D1257" i="1"/>
  <c r="C1257" i="1"/>
  <c r="D1254" i="1"/>
  <c r="C1254" i="1"/>
  <c r="H1254" i="1" s="1"/>
  <c r="D1253" i="1"/>
  <c r="C1253" i="1"/>
  <c r="G1252" i="1"/>
  <c r="D1252" i="1"/>
  <c r="C1252" i="1"/>
  <c r="H1252" i="1" s="1"/>
  <c r="D1251" i="1"/>
  <c r="C1251" i="1"/>
  <c r="D1250" i="1"/>
  <c r="C1250" i="1"/>
  <c r="D1249" i="1"/>
  <c r="C1249" i="1"/>
  <c r="H1248" i="1"/>
  <c r="G1248" i="1"/>
  <c r="D1248" i="1"/>
  <c r="C1248" i="1"/>
  <c r="D1247" i="1"/>
  <c r="C1247" i="1"/>
  <c r="D1246" i="1"/>
  <c r="C1246" i="1"/>
  <c r="H1246" i="1" s="1"/>
  <c r="D1245" i="1"/>
  <c r="C1245" i="1"/>
  <c r="G1244" i="1"/>
  <c r="D1244" i="1"/>
  <c r="C1244" i="1"/>
  <c r="H1244" i="1" s="1"/>
  <c r="D1243" i="1"/>
  <c r="C1243" i="1"/>
  <c r="D1242" i="1"/>
  <c r="C1242" i="1"/>
  <c r="D1241" i="1"/>
  <c r="C1241" i="1"/>
  <c r="H1240" i="1"/>
  <c r="G1240" i="1"/>
  <c r="D1240" i="1"/>
  <c r="C1240" i="1"/>
  <c r="D1239" i="1"/>
  <c r="C1239" i="1"/>
  <c r="D1238" i="1"/>
  <c r="C1238" i="1"/>
  <c r="H1238" i="1" s="1"/>
  <c r="D1237" i="1"/>
  <c r="C1237" i="1"/>
  <c r="G1236" i="1"/>
  <c r="D1236" i="1"/>
  <c r="C1236" i="1"/>
  <c r="H1236" i="1" s="1"/>
  <c r="D1235" i="1"/>
  <c r="C1235" i="1"/>
  <c r="D1234" i="1"/>
  <c r="C1234" i="1"/>
  <c r="D1233" i="1"/>
  <c r="C1233" i="1"/>
  <c r="H1232" i="1"/>
  <c r="D1232" i="1"/>
  <c r="C1232" i="1"/>
  <c r="G1232" i="1" s="1"/>
  <c r="D1231" i="1"/>
  <c r="H1231" i="1" s="1"/>
  <c r="C1231" i="1"/>
  <c r="H1230" i="1"/>
  <c r="D1230" i="1"/>
  <c r="C1230" i="1"/>
  <c r="G1230" i="1" s="1"/>
  <c r="D1229" i="1"/>
  <c r="C1229" i="1"/>
  <c r="G1229" i="1" s="1"/>
  <c r="H1228" i="1"/>
  <c r="D1228" i="1"/>
  <c r="C1228" i="1"/>
  <c r="G1228" i="1" s="1"/>
  <c r="D1227" i="1"/>
  <c r="H1227" i="1" s="1"/>
  <c r="C1227" i="1"/>
  <c r="H1226" i="1"/>
  <c r="D1226" i="1"/>
  <c r="C1226" i="1"/>
  <c r="G1226" i="1" s="1"/>
  <c r="D1225" i="1"/>
  <c r="C1225" i="1"/>
  <c r="H1224" i="1"/>
  <c r="D1224" i="1"/>
  <c r="C1224" i="1"/>
  <c r="G1224" i="1" s="1"/>
  <c r="D1223" i="1"/>
  <c r="H1222" i="1"/>
  <c r="D1222" i="1"/>
  <c r="C1222" i="1"/>
  <c r="G1222" i="1" s="1"/>
  <c r="D1221" i="1"/>
  <c r="C1221" i="1"/>
  <c r="G1221" i="1" s="1"/>
  <c r="H1220" i="1"/>
  <c r="D1220" i="1"/>
  <c r="C1220" i="1"/>
  <c r="G1220" i="1" s="1"/>
  <c r="D1219" i="1"/>
  <c r="H1219" i="1" s="1"/>
  <c r="C1219" i="1"/>
  <c r="H1218" i="1"/>
  <c r="D1218" i="1"/>
  <c r="C1218" i="1"/>
  <c r="G1218" i="1" s="1"/>
  <c r="D1217" i="1"/>
  <c r="C1217" i="1"/>
  <c r="H1216" i="1"/>
  <c r="D1216" i="1"/>
  <c r="C1216" i="1"/>
  <c r="G1216" i="1" s="1"/>
  <c r="D1215" i="1"/>
  <c r="H1215" i="1" s="1"/>
  <c r="C1215" i="1"/>
  <c r="H1214" i="1"/>
  <c r="D1214" i="1"/>
  <c r="C1214" i="1"/>
  <c r="G1214" i="1" s="1"/>
  <c r="D1213" i="1"/>
  <c r="C1213" i="1"/>
  <c r="G1213" i="1" s="1"/>
  <c r="H1212" i="1"/>
  <c r="D1212" i="1"/>
  <c r="C1212" i="1"/>
  <c r="G1212" i="1" s="1"/>
  <c r="D1211" i="1"/>
  <c r="H1211" i="1" s="1"/>
  <c r="C1211" i="1"/>
  <c r="H1210" i="1"/>
  <c r="D1210" i="1"/>
  <c r="C1210" i="1"/>
  <c r="G1210" i="1" s="1"/>
  <c r="D1209" i="1"/>
  <c r="C1209" i="1"/>
  <c r="H1208" i="1"/>
  <c r="D1208" i="1"/>
  <c r="C1208" i="1"/>
  <c r="G1208" i="1" s="1"/>
  <c r="D1207" i="1"/>
  <c r="H1206" i="1"/>
  <c r="D1206" i="1"/>
  <c r="C1206" i="1"/>
  <c r="G1206" i="1" s="1"/>
  <c r="D1205" i="1"/>
  <c r="C1205" i="1"/>
  <c r="G1205" i="1" s="1"/>
  <c r="H1204" i="1"/>
  <c r="D1204" i="1"/>
  <c r="C1204" i="1"/>
  <c r="G1204" i="1" s="1"/>
  <c r="D1203" i="1"/>
  <c r="H1203" i="1" s="1"/>
  <c r="C1203" i="1"/>
  <c r="H1202" i="1"/>
  <c r="D1202" i="1"/>
  <c r="C1202" i="1"/>
  <c r="G1202" i="1" s="1"/>
  <c r="D1201" i="1"/>
  <c r="C1201" i="1"/>
  <c r="H1200" i="1"/>
  <c r="G1200" i="1"/>
  <c r="D1200" i="1"/>
  <c r="C1200" i="1"/>
  <c r="D1199" i="1"/>
  <c r="H1199" i="1" s="1"/>
  <c r="C1199" i="1"/>
  <c r="H1198" i="1"/>
  <c r="D1198" i="1"/>
  <c r="C1198" i="1"/>
  <c r="G1198" i="1" s="1"/>
  <c r="D1197" i="1"/>
  <c r="C1197" i="1"/>
  <c r="G1197" i="1" s="1"/>
  <c r="H1196" i="1"/>
  <c r="D1196" i="1"/>
  <c r="C1196" i="1"/>
  <c r="G1196" i="1" s="1"/>
  <c r="H1195" i="1"/>
  <c r="D1195" i="1"/>
  <c r="C1195" i="1"/>
  <c r="H1194" i="1"/>
  <c r="D1194" i="1"/>
  <c r="C1194" i="1"/>
  <c r="G1194" i="1" s="1"/>
  <c r="D1193" i="1"/>
  <c r="C1193" i="1"/>
  <c r="G1193" i="1" s="1"/>
  <c r="H1192" i="1"/>
  <c r="D1192" i="1"/>
  <c r="C1192" i="1"/>
  <c r="G1192" i="1" s="1"/>
  <c r="H1191" i="1"/>
  <c r="D1191" i="1"/>
  <c r="C1191" i="1"/>
  <c r="G1191" i="1" s="1"/>
  <c r="H1190" i="1"/>
  <c r="D1190" i="1"/>
  <c r="C1190" i="1"/>
  <c r="G1190" i="1" s="1"/>
  <c r="D1189" i="1"/>
  <c r="C1189" i="1"/>
  <c r="G1189" i="1" s="1"/>
  <c r="D1188" i="1"/>
  <c r="H1188" i="1" s="1"/>
  <c r="C1188" i="1"/>
  <c r="H1187" i="1"/>
  <c r="D1187" i="1"/>
  <c r="C1187" i="1"/>
  <c r="H1186" i="1"/>
  <c r="D1186" i="1"/>
  <c r="C1186" i="1"/>
  <c r="G1186" i="1" s="1"/>
  <c r="D1185" i="1"/>
  <c r="C1185" i="1"/>
  <c r="H1184" i="1"/>
  <c r="D1184" i="1"/>
  <c r="C1184" i="1"/>
  <c r="G1184" i="1" s="1"/>
  <c r="D1183" i="1"/>
  <c r="H1183" i="1" s="1"/>
  <c r="C1183" i="1"/>
  <c r="D1179" i="1"/>
  <c r="C1179" i="1"/>
  <c r="H1178" i="1"/>
  <c r="D1178" i="1"/>
  <c r="C1178" i="1"/>
  <c r="D1177" i="1"/>
  <c r="H1177" i="1" s="1"/>
  <c r="C1177" i="1"/>
  <c r="D1176" i="1"/>
  <c r="H1176" i="1" s="1"/>
  <c r="C1176" i="1"/>
  <c r="D1175" i="1"/>
  <c r="C1175" i="1"/>
  <c r="G1175" i="1" s="1"/>
  <c r="H1174" i="1"/>
  <c r="D1174" i="1"/>
  <c r="C1174" i="1"/>
  <c r="G1174" i="1" s="1"/>
  <c r="D1173" i="1"/>
  <c r="H1173" i="1" s="1"/>
  <c r="C1173" i="1"/>
  <c r="H1172" i="1"/>
  <c r="D1172" i="1"/>
  <c r="C1172" i="1"/>
  <c r="G1172" i="1" s="1"/>
  <c r="D1171" i="1"/>
  <c r="C1171" i="1"/>
  <c r="H1170" i="1"/>
  <c r="C1170" i="1"/>
  <c r="G1170" i="1" s="1"/>
  <c r="D1169" i="1"/>
  <c r="C1169" i="1"/>
  <c r="H1168" i="1"/>
  <c r="D1168" i="1"/>
  <c r="C1168" i="1"/>
  <c r="G1168" i="1" s="1"/>
  <c r="H1167" i="1"/>
  <c r="D1167" i="1"/>
  <c r="C1167" i="1"/>
  <c r="H1166" i="1"/>
  <c r="D1166" i="1"/>
  <c r="C1166" i="1"/>
  <c r="G1166" i="1" s="1"/>
  <c r="D1165" i="1"/>
  <c r="C1165" i="1"/>
  <c r="D1164" i="1"/>
  <c r="H1164" i="1" s="1"/>
  <c r="C1164" i="1"/>
  <c r="G1164" i="1" s="1"/>
  <c r="H1163" i="1"/>
  <c r="D1163" i="1"/>
  <c r="C1163" i="1"/>
  <c r="G1163" i="1" s="1"/>
  <c r="H1162" i="1"/>
  <c r="D1162" i="1"/>
  <c r="C1162" i="1"/>
  <c r="G1162" i="1" s="1"/>
  <c r="D1161" i="1"/>
  <c r="C1161" i="1"/>
  <c r="G1161" i="1" s="1"/>
  <c r="H1160" i="1"/>
  <c r="D1160" i="1"/>
  <c r="C1160" i="1"/>
  <c r="G1160" i="1" s="1"/>
  <c r="H1159" i="1"/>
  <c r="D1159" i="1"/>
  <c r="C1159" i="1"/>
  <c r="H1158" i="1"/>
  <c r="D1158" i="1"/>
  <c r="C1158" i="1"/>
  <c r="G1158" i="1" s="1"/>
  <c r="D1157" i="1"/>
  <c r="C1157" i="1"/>
  <c r="G1157" i="1" s="1"/>
  <c r="H1156" i="1"/>
  <c r="D1156" i="1"/>
  <c r="C1156" i="1"/>
  <c r="G1156" i="1" s="1"/>
  <c r="H1155" i="1"/>
  <c r="D1155" i="1"/>
  <c r="C1155" i="1"/>
  <c r="G1155" i="1" s="1"/>
  <c r="H1154" i="1"/>
  <c r="D1154" i="1"/>
  <c r="C1154" i="1"/>
  <c r="G1154" i="1" s="1"/>
  <c r="D1153" i="1"/>
  <c r="C1153" i="1"/>
  <c r="G1153" i="1" s="1"/>
  <c r="D1151" i="1"/>
  <c r="C1151" i="1"/>
  <c r="G1151" i="1" s="1"/>
  <c r="H1150" i="1"/>
  <c r="G1150" i="1"/>
  <c r="D1150" i="1"/>
  <c r="C1150" i="1"/>
  <c r="D1149" i="1"/>
  <c r="C1149" i="1"/>
  <c r="H1148" i="1"/>
  <c r="D1148" i="1"/>
  <c r="C1148" i="1"/>
  <c r="G1148" i="1" s="1"/>
  <c r="D1147" i="1"/>
  <c r="H1147" i="1" s="1"/>
  <c r="C1147" i="1"/>
  <c r="H1146" i="1"/>
  <c r="D1146" i="1"/>
  <c r="C1146" i="1"/>
  <c r="G1146" i="1" s="1"/>
  <c r="D1145" i="1"/>
  <c r="C1145" i="1"/>
  <c r="G1145" i="1" s="1"/>
  <c r="H1144" i="1"/>
  <c r="G1144" i="1"/>
  <c r="D1144" i="1"/>
  <c r="C1144" i="1"/>
  <c r="H1143" i="1"/>
  <c r="D1143" i="1"/>
  <c r="C1143" i="1"/>
  <c r="H1142" i="1"/>
  <c r="G1142" i="1"/>
  <c r="D1142" i="1"/>
  <c r="C1142" i="1"/>
  <c r="D1141" i="1"/>
  <c r="H1141" i="1" s="1"/>
  <c r="C1141" i="1"/>
  <c r="C1140" i="1"/>
  <c r="D1139" i="1"/>
  <c r="C1139" i="1"/>
  <c r="G1139" i="1" s="1"/>
  <c r="H1138" i="1"/>
  <c r="G1138" i="1"/>
  <c r="D1138" i="1"/>
  <c r="C1138" i="1"/>
  <c r="D1137" i="1"/>
  <c r="C1137" i="1"/>
  <c r="H1136" i="1"/>
  <c r="G1136" i="1"/>
  <c r="D1136" i="1"/>
  <c r="C1136" i="1"/>
  <c r="H1135" i="1"/>
  <c r="D1135" i="1"/>
  <c r="C1135" i="1"/>
  <c r="G1135" i="1" s="1"/>
  <c r="H1134" i="1"/>
  <c r="G1134" i="1"/>
  <c r="D1134" i="1"/>
  <c r="C1134" i="1"/>
  <c r="D1133" i="1"/>
  <c r="H1133" i="1" s="1"/>
  <c r="C1133" i="1"/>
  <c r="H1132" i="1"/>
  <c r="G1132" i="1"/>
  <c r="D1132" i="1"/>
  <c r="C1132" i="1"/>
  <c r="D1131" i="1"/>
  <c r="C1131" i="1"/>
  <c r="G1131" i="1" s="1"/>
  <c r="H1130" i="1"/>
  <c r="G1130" i="1"/>
  <c r="D1130" i="1"/>
  <c r="C1130" i="1"/>
  <c r="D1129" i="1"/>
  <c r="C1129" i="1"/>
  <c r="G1129" i="1" s="1"/>
  <c r="H1128" i="1"/>
  <c r="G1128" i="1"/>
  <c r="D1128" i="1"/>
  <c r="C1128" i="1"/>
  <c r="H1127" i="1"/>
  <c r="D1127" i="1"/>
  <c r="C1127" i="1"/>
  <c r="H1126" i="1"/>
  <c r="G1126" i="1"/>
  <c r="D1126" i="1"/>
  <c r="C1126" i="1"/>
  <c r="D1125" i="1"/>
  <c r="H1125" i="1" s="1"/>
  <c r="C1125" i="1"/>
  <c r="H1124" i="1"/>
  <c r="G1124" i="1"/>
  <c r="D1124" i="1"/>
  <c r="C1124" i="1"/>
  <c r="D1123" i="1"/>
  <c r="C1123" i="1"/>
  <c r="G1123" i="1" s="1"/>
  <c r="H1122" i="1"/>
  <c r="G1122" i="1"/>
  <c r="D1122" i="1"/>
  <c r="C1122" i="1"/>
  <c r="D1121" i="1"/>
  <c r="C1121" i="1"/>
  <c r="H1120" i="1"/>
  <c r="G1120" i="1"/>
  <c r="D1120" i="1"/>
  <c r="C1120" i="1"/>
  <c r="H1119" i="1"/>
  <c r="D1119" i="1"/>
  <c r="C1119" i="1"/>
  <c r="G1119" i="1" s="1"/>
  <c r="H1118" i="1"/>
  <c r="G1118" i="1"/>
  <c r="D1118" i="1"/>
  <c r="C1118" i="1"/>
  <c r="D1117" i="1"/>
  <c r="H1117" i="1" s="1"/>
  <c r="C1117" i="1"/>
  <c r="H1116" i="1"/>
  <c r="G1116" i="1"/>
  <c r="D1116" i="1"/>
  <c r="C1116" i="1"/>
  <c r="D1115" i="1"/>
  <c r="C1115" i="1"/>
  <c r="G1115" i="1" s="1"/>
  <c r="H1114" i="1"/>
  <c r="G1114" i="1"/>
  <c r="D1114" i="1"/>
  <c r="C1114" i="1"/>
  <c r="D1113" i="1"/>
  <c r="C1113" i="1"/>
  <c r="G1113" i="1" s="1"/>
  <c r="H1112" i="1"/>
  <c r="G1112" i="1"/>
  <c r="D1112" i="1"/>
  <c r="C1112" i="1"/>
  <c r="H1111" i="1"/>
  <c r="D1111" i="1"/>
  <c r="C1111" i="1"/>
  <c r="H1110" i="1"/>
  <c r="G1110" i="1"/>
  <c r="D1110" i="1"/>
  <c r="C1110" i="1"/>
  <c r="D1109" i="1"/>
  <c r="H1109" i="1" s="1"/>
  <c r="C1109" i="1"/>
  <c r="H1108" i="1"/>
  <c r="G1108" i="1"/>
  <c r="D1108" i="1"/>
  <c r="C1108" i="1"/>
  <c r="D1107" i="1"/>
  <c r="C1107" i="1"/>
  <c r="G1107" i="1" s="1"/>
  <c r="H1106" i="1"/>
  <c r="G1106" i="1"/>
  <c r="D1106" i="1"/>
  <c r="C1106" i="1"/>
  <c r="D1105" i="1"/>
  <c r="C1105" i="1"/>
  <c r="H1104" i="1"/>
  <c r="G1104" i="1"/>
  <c r="D1104" i="1"/>
  <c r="C1104" i="1"/>
  <c r="H1103" i="1"/>
  <c r="D1103" i="1"/>
  <c r="C1103" i="1"/>
  <c r="G1103" i="1" s="1"/>
  <c r="H1102" i="1"/>
  <c r="G1102" i="1"/>
  <c r="D1102" i="1"/>
  <c r="C1102" i="1"/>
  <c r="D1101" i="1"/>
  <c r="H1101" i="1" s="1"/>
  <c r="C1101" i="1"/>
  <c r="H1100" i="1"/>
  <c r="G1100" i="1"/>
  <c r="D1100" i="1"/>
  <c r="C1100" i="1"/>
  <c r="D1099" i="1"/>
  <c r="C1099" i="1"/>
  <c r="G1099" i="1" s="1"/>
  <c r="H1098" i="1"/>
  <c r="G1098" i="1"/>
  <c r="D1098" i="1"/>
  <c r="C1098" i="1"/>
  <c r="D1097" i="1"/>
  <c r="C1097" i="1"/>
  <c r="G1097" i="1" s="1"/>
  <c r="H1096" i="1"/>
  <c r="G1096" i="1"/>
  <c r="D1096" i="1"/>
  <c r="C1096" i="1"/>
  <c r="H1095" i="1"/>
  <c r="D1095" i="1"/>
  <c r="C1095" i="1"/>
  <c r="D1094" i="1"/>
  <c r="H1092" i="1"/>
  <c r="D1092" i="1"/>
  <c r="G1092" i="1" s="1"/>
  <c r="C1092" i="1"/>
  <c r="H1091" i="1"/>
  <c r="D1091" i="1"/>
  <c r="C1091" i="1"/>
  <c r="G1091" i="1" s="1"/>
  <c r="H1090" i="1"/>
  <c r="G1090" i="1"/>
  <c r="D1090" i="1"/>
  <c r="C1090" i="1"/>
  <c r="D1089" i="1"/>
  <c r="H1089" i="1" s="1"/>
  <c r="C1089" i="1"/>
  <c r="H1088" i="1"/>
  <c r="G1088" i="1"/>
  <c r="D1088" i="1"/>
  <c r="C1088" i="1"/>
  <c r="D1087" i="1"/>
  <c r="C1087" i="1"/>
  <c r="G1087" i="1" s="1"/>
  <c r="H1086" i="1"/>
  <c r="G1086" i="1"/>
  <c r="D1086" i="1"/>
  <c r="C1086" i="1"/>
  <c r="D1085" i="1"/>
  <c r="C1085" i="1"/>
  <c r="G1085" i="1" s="1"/>
  <c r="H1084" i="1"/>
  <c r="G1084" i="1"/>
  <c r="D1084" i="1"/>
  <c r="C1084" i="1"/>
  <c r="H1083" i="1"/>
  <c r="D1083" i="1"/>
  <c r="C1083" i="1"/>
  <c r="H1082" i="1"/>
  <c r="G1082" i="1"/>
  <c r="D1082" i="1"/>
  <c r="C1082" i="1"/>
  <c r="D1081" i="1"/>
  <c r="H1081" i="1" s="1"/>
  <c r="C1081" i="1"/>
  <c r="H1080" i="1"/>
  <c r="G1080" i="1"/>
  <c r="D1080" i="1"/>
  <c r="C1080" i="1"/>
  <c r="D1079" i="1"/>
  <c r="C1079" i="1"/>
  <c r="G1079" i="1" s="1"/>
  <c r="D1078" i="1"/>
  <c r="G1078" i="1" s="1"/>
  <c r="C1078" i="1"/>
  <c r="D1077" i="1"/>
  <c r="C1077" i="1"/>
  <c r="C1076" i="1"/>
  <c r="C1075" i="1"/>
  <c r="H1073" i="1"/>
  <c r="D1073" i="1"/>
  <c r="C1073" i="1"/>
  <c r="H1072" i="1"/>
  <c r="G1072" i="1"/>
  <c r="D1072" i="1"/>
  <c r="C1072" i="1"/>
  <c r="D1071" i="1"/>
  <c r="H1071" i="1" s="1"/>
  <c r="C1071" i="1"/>
  <c r="H1070" i="1"/>
  <c r="G1070" i="1"/>
  <c r="D1070" i="1"/>
  <c r="C1070" i="1"/>
  <c r="D1069" i="1"/>
  <c r="C1069" i="1"/>
  <c r="G1069" i="1" s="1"/>
  <c r="H1068" i="1"/>
  <c r="G1068" i="1"/>
  <c r="D1068" i="1"/>
  <c r="C1068" i="1"/>
  <c r="D1067" i="1"/>
  <c r="C1067" i="1"/>
  <c r="H1066" i="1"/>
  <c r="G1066" i="1"/>
  <c r="D1066" i="1"/>
  <c r="C1066" i="1"/>
  <c r="H1065" i="1"/>
  <c r="D1065" i="1"/>
  <c r="C1065" i="1"/>
  <c r="G1065" i="1" s="1"/>
  <c r="H1064" i="1"/>
  <c r="G1064" i="1"/>
  <c r="D1064" i="1"/>
  <c r="C1064" i="1"/>
  <c r="D1063" i="1"/>
  <c r="H1063" i="1" s="1"/>
  <c r="C1063" i="1"/>
  <c r="D1062" i="1"/>
  <c r="H1062" i="1" s="1"/>
  <c r="C1062" i="1"/>
  <c r="D1061" i="1"/>
  <c r="C1061" i="1"/>
  <c r="G1061" i="1" s="1"/>
  <c r="H1060" i="1"/>
  <c r="D1060" i="1"/>
  <c r="G1060" i="1" s="1"/>
  <c r="C1060" i="1"/>
  <c r="D1059" i="1"/>
  <c r="C1059" i="1"/>
  <c r="G1059" i="1" s="1"/>
  <c r="H1058" i="1"/>
  <c r="G1058" i="1"/>
  <c r="D1058" i="1"/>
  <c r="C1058" i="1"/>
  <c r="D1057" i="1"/>
  <c r="H1057" i="1" s="1"/>
  <c r="C1057" i="1"/>
  <c r="H1056" i="1"/>
  <c r="G1056" i="1"/>
  <c r="D1056" i="1"/>
  <c r="C1056" i="1"/>
  <c r="D1055" i="1"/>
  <c r="H1055" i="1" s="1"/>
  <c r="C1055" i="1"/>
  <c r="D1054" i="1"/>
  <c r="H1054" i="1" s="1"/>
  <c r="C1054" i="1"/>
  <c r="D1053" i="1"/>
  <c r="C1053" i="1"/>
  <c r="G1053" i="1" s="1"/>
  <c r="H1052" i="1"/>
  <c r="G1052" i="1"/>
  <c r="D1052" i="1"/>
  <c r="C1052" i="1"/>
  <c r="D1051" i="1"/>
  <c r="C1051" i="1"/>
  <c r="C1050" i="1"/>
  <c r="H1049" i="1"/>
  <c r="D1049" i="1"/>
  <c r="C1049" i="1"/>
  <c r="G1049" i="1" s="1"/>
  <c r="H1048" i="1"/>
  <c r="G1048" i="1"/>
  <c r="D1048" i="1"/>
  <c r="C1048" i="1"/>
  <c r="D1047" i="1"/>
  <c r="H1047" i="1" s="1"/>
  <c r="C1047" i="1"/>
  <c r="H1046" i="1"/>
  <c r="G1046" i="1"/>
  <c r="D1046" i="1"/>
  <c r="C1046" i="1"/>
  <c r="D1045" i="1"/>
  <c r="C1045" i="1"/>
  <c r="G1045" i="1" s="1"/>
  <c r="H1044" i="1"/>
  <c r="G1044" i="1"/>
  <c r="D1044" i="1"/>
  <c r="C1044" i="1"/>
  <c r="D1043" i="1"/>
  <c r="C1043" i="1"/>
  <c r="G1043" i="1" s="1"/>
  <c r="H1042" i="1"/>
  <c r="G1042" i="1"/>
  <c r="D1042" i="1"/>
  <c r="C1042" i="1"/>
  <c r="H1041" i="1"/>
  <c r="D1041" i="1"/>
  <c r="C1041" i="1"/>
  <c r="C1040" i="1"/>
  <c r="D1039" i="1"/>
  <c r="H1039" i="1" s="1"/>
  <c r="C1039" i="1"/>
  <c r="H1038" i="1"/>
  <c r="G1038" i="1"/>
  <c r="D1038" i="1"/>
  <c r="C1038" i="1"/>
  <c r="D1037" i="1"/>
  <c r="C1037" i="1"/>
  <c r="G1037" i="1" s="1"/>
  <c r="H1036" i="1"/>
  <c r="G1036" i="1"/>
  <c r="D1036" i="1"/>
  <c r="C1036" i="1"/>
  <c r="D1035" i="1"/>
  <c r="C1035" i="1"/>
  <c r="D1034" i="1"/>
  <c r="G1034" i="1" s="1"/>
  <c r="C1034" i="1"/>
  <c r="D1033" i="1"/>
  <c r="H1033" i="1" s="1"/>
  <c r="C1033" i="1"/>
  <c r="G1033" i="1" s="1"/>
  <c r="H1032" i="1"/>
  <c r="D1032" i="1"/>
  <c r="G1032" i="1" s="1"/>
  <c r="C1032" i="1"/>
  <c r="D1031" i="1"/>
  <c r="H1031" i="1" s="1"/>
  <c r="C1031" i="1"/>
  <c r="D1030" i="1"/>
  <c r="G1030" i="1" s="1"/>
  <c r="C1030" i="1"/>
  <c r="D1029" i="1"/>
  <c r="C1029" i="1"/>
  <c r="H1028" i="1"/>
  <c r="D1028" i="1"/>
  <c r="G1028" i="1" s="1"/>
  <c r="C1028" i="1"/>
  <c r="D1027" i="1"/>
  <c r="C1027" i="1"/>
  <c r="H1026" i="1"/>
  <c r="D1026" i="1"/>
  <c r="G1026" i="1" s="1"/>
  <c r="C1026" i="1"/>
  <c r="H1025" i="1"/>
  <c r="D1025" i="1"/>
  <c r="C1025" i="1"/>
  <c r="C1024" i="1"/>
  <c r="D1023" i="1"/>
  <c r="C1023" i="1"/>
  <c r="D1022" i="1"/>
  <c r="G1022" i="1" s="1"/>
  <c r="C1022" i="1"/>
  <c r="H1022" i="1" s="1"/>
  <c r="D1021" i="1"/>
  <c r="C1021" i="1"/>
  <c r="G1021" i="1" s="1"/>
  <c r="G1020" i="1"/>
  <c r="D1020" i="1"/>
  <c r="H1020" i="1" s="1"/>
  <c r="C1020" i="1"/>
  <c r="D1019" i="1"/>
  <c r="C1019" i="1"/>
  <c r="D1018" i="1"/>
  <c r="C1018" i="1"/>
  <c r="C1017" i="1"/>
  <c r="H1016" i="1"/>
  <c r="G1016" i="1"/>
  <c r="D1016" i="1"/>
  <c r="C1016" i="1"/>
  <c r="D1015" i="1"/>
  <c r="H1015" i="1" s="1"/>
  <c r="C1015" i="1"/>
  <c r="D1014" i="1"/>
  <c r="H1014" i="1" s="1"/>
  <c r="C1014" i="1"/>
  <c r="C1013" i="1"/>
  <c r="H1010" i="1"/>
  <c r="G1010" i="1"/>
  <c r="D1010" i="1"/>
  <c r="C1010" i="1"/>
  <c r="D1009" i="1"/>
  <c r="C1009" i="1"/>
  <c r="H1008" i="1"/>
  <c r="G1008" i="1"/>
  <c r="D1008" i="1"/>
  <c r="C1008" i="1"/>
  <c r="H1007" i="1"/>
  <c r="D1007" i="1"/>
  <c r="C1007" i="1"/>
  <c r="G1007" i="1" s="1"/>
  <c r="H1006" i="1"/>
  <c r="G1006" i="1"/>
  <c r="D1006" i="1"/>
  <c r="C1006" i="1"/>
  <c r="D1005" i="1"/>
  <c r="H1005" i="1" s="1"/>
  <c r="C1005" i="1"/>
  <c r="H1004" i="1"/>
  <c r="G1004" i="1"/>
  <c r="D1004" i="1"/>
  <c r="C1004" i="1"/>
  <c r="D1003" i="1"/>
  <c r="C1003" i="1"/>
  <c r="G1003" i="1" s="1"/>
  <c r="H1002" i="1"/>
  <c r="G1002" i="1"/>
  <c r="D1002" i="1"/>
  <c r="C1002" i="1"/>
  <c r="D1001" i="1"/>
  <c r="C1001" i="1"/>
  <c r="G1001" i="1" s="1"/>
  <c r="H1000" i="1"/>
  <c r="G1000" i="1"/>
  <c r="D1000" i="1"/>
  <c r="C1000" i="1"/>
  <c r="H999" i="1"/>
  <c r="D999" i="1"/>
  <c r="C999" i="1"/>
  <c r="H998" i="1"/>
  <c r="G998" i="1"/>
  <c r="D998" i="1"/>
  <c r="C998" i="1"/>
  <c r="D997" i="1"/>
  <c r="H997" i="1" s="1"/>
  <c r="C997" i="1"/>
  <c r="H996" i="1"/>
  <c r="G996" i="1"/>
  <c r="D996" i="1"/>
  <c r="C996" i="1"/>
  <c r="D995" i="1"/>
  <c r="C995" i="1"/>
  <c r="G995" i="1" s="1"/>
  <c r="H994" i="1"/>
  <c r="G994" i="1"/>
  <c r="D994" i="1"/>
  <c r="C994" i="1"/>
  <c r="D993" i="1"/>
  <c r="C993" i="1"/>
  <c r="H992" i="1"/>
  <c r="G992" i="1"/>
  <c r="D992" i="1"/>
  <c r="C992" i="1"/>
  <c r="H991" i="1"/>
  <c r="D991" i="1"/>
  <c r="C991" i="1"/>
  <c r="G991" i="1" s="1"/>
  <c r="H990" i="1"/>
  <c r="G990" i="1"/>
  <c r="D990" i="1"/>
  <c r="C990" i="1"/>
  <c r="D989" i="1"/>
  <c r="H989" i="1" s="1"/>
  <c r="C989" i="1"/>
  <c r="H988" i="1"/>
  <c r="G988" i="1"/>
  <c r="D988" i="1"/>
  <c r="C988" i="1"/>
  <c r="D987" i="1"/>
  <c r="C987" i="1"/>
  <c r="G987" i="1" s="1"/>
  <c r="H986" i="1"/>
  <c r="G986" i="1"/>
  <c r="D986" i="1"/>
  <c r="C986" i="1"/>
  <c r="D985" i="1"/>
  <c r="C985" i="1"/>
  <c r="G985" i="1" s="1"/>
  <c r="H984" i="1"/>
  <c r="G984" i="1"/>
  <c r="D984" i="1"/>
  <c r="C984" i="1"/>
  <c r="H983" i="1"/>
  <c r="D983" i="1"/>
  <c r="C983" i="1"/>
  <c r="H982" i="1"/>
  <c r="G982" i="1"/>
  <c r="D982" i="1"/>
  <c r="C982" i="1"/>
  <c r="D981" i="1"/>
  <c r="H981" i="1" s="1"/>
  <c r="C981" i="1"/>
  <c r="H980" i="1"/>
  <c r="G980" i="1"/>
  <c r="D980" i="1"/>
  <c r="C980" i="1"/>
  <c r="D979" i="1"/>
  <c r="C979" i="1"/>
  <c r="G979" i="1" s="1"/>
  <c r="H978" i="1"/>
  <c r="G978" i="1"/>
  <c r="D978" i="1"/>
  <c r="C978" i="1"/>
  <c r="D977" i="1"/>
  <c r="C977" i="1"/>
  <c r="H976" i="1"/>
  <c r="G976" i="1"/>
  <c r="D976" i="1"/>
  <c r="C976" i="1"/>
  <c r="H975" i="1"/>
  <c r="D975" i="1"/>
  <c r="C975" i="1"/>
  <c r="G975" i="1" s="1"/>
  <c r="H974" i="1"/>
  <c r="G974" i="1"/>
  <c r="D974" i="1"/>
  <c r="C974" i="1"/>
  <c r="D973" i="1"/>
  <c r="H973" i="1" s="1"/>
  <c r="C973" i="1"/>
  <c r="H972" i="1"/>
  <c r="G972" i="1"/>
  <c r="D972" i="1"/>
  <c r="C972" i="1"/>
  <c r="D971" i="1"/>
  <c r="C971" i="1"/>
  <c r="G971" i="1" s="1"/>
  <c r="H970" i="1"/>
  <c r="G970" i="1"/>
  <c r="D970" i="1"/>
  <c r="C970" i="1"/>
  <c r="D969" i="1"/>
  <c r="C969" i="1"/>
  <c r="G969" i="1" s="1"/>
  <c r="H968" i="1"/>
  <c r="G968" i="1"/>
  <c r="D968" i="1"/>
  <c r="C968" i="1"/>
  <c r="H967" i="1"/>
  <c r="D967" i="1"/>
  <c r="C967" i="1"/>
  <c r="H966" i="1"/>
  <c r="G966" i="1"/>
  <c r="D966" i="1"/>
  <c r="C966" i="1"/>
  <c r="D965" i="1"/>
  <c r="H965" i="1" s="1"/>
  <c r="C965" i="1"/>
  <c r="H964" i="1"/>
  <c r="G964" i="1"/>
  <c r="D964" i="1"/>
  <c r="C964" i="1"/>
  <c r="D963" i="1"/>
  <c r="C963" i="1"/>
  <c r="G963" i="1" s="1"/>
  <c r="H962" i="1"/>
  <c r="G962" i="1"/>
  <c r="D962" i="1"/>
  <c r="C962" i="1"/>
  <c r="D961" i="1"/>
  <c r="C961" i="1"/>
  <c r="H960" i="1"/>
  <c r="G960" i="1"/>
  <c r="D960" i="1"/>
  <c r="C960" i="1"/>
  <c r="H959" i="1"/>
  <c r="D959" i="1"/>
  <c r="C959" i="1"/>
  <c r="G959" i="1" s="1"/>
  <c r="H958" i="1"/>
  <c r="G958" i="1"/>
  <c r="D958" i="1"/>
  <c r="C958" i="1"/>
  <c r="D957" i="1"/>
  <c r="H957" i="1" s="1"/>
  <c r="C957" i="1"/>
  <c r="D956" i="1"/>
  <c r="H956" i="1" s="1"/>
  <c r="C956" i="1"/>
  <c r="D955" i="1"/>
  <c r="C955" i="1"/>
  <c r="G955" i="1" s="1"/>
  <c r="D954" i="1"/>
  <c r="C954" i="1"/>
  <c r="H954" i="1" s="1"/>
  <c r="D953" i="1"/>
  <c r="C953" i="1"/>
  <c r="G953" i="1" s="1"/>
  <c r="H952" i="1"/>
  <c r="D952" i="1"/>
  <c r="C952" i="1"/>
  <c r="G952" i="1" s="1"/>
  <c r="H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D850" i="1"/>
  <c r="H850" i="1" s="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D843" i="1"/>
  <c r="H843" i="1" s="1"/>
  <c r="C843" i="1"/>
  <c r="H842" i="1"/>
  <c r="G842" i="1"/>
  <c r="D842" i="1"/>
  <c r="C842" i="1"/>
  <c r="D841" i="1"/>
  <c r="H841" i="1" s="1"/>
  <c r="C841" i="1"/>
  <c r="H840" i="1"/>
  <c r="G840" i="1"/>
  <c r="D840" i="1"/>
  <c r="C840" i="1"/>
  <c r="D839" i="1"/>
  <c r="H839" i="1" s="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D733" i="1"/>
  <c r="H733" i="1" s="1"/>
  <c r="C733" i="1"/>
  <c r="H732" i="1"/>
  <c r="D732" i="1"/>
  <c r="G732" i="1" s="1"/>
  <c r="C732" i="1"/>
  <c r="D731" i="1"/>
  <c r="H731" i="1" s="1"/>
  <c r="C731" i="1"/>
  <c r="H730" i="1"/>
  <c r="G730" i="1"/>
  <c r="D730" i="1"/>
  <c r="C730" i="1"/>
  <c r="H729" i="1"/>
  <c r="G729" i="1"/>
  <c r="D729" i="1"/>
  <c r="C729" i="1"/>
  <c r="H728" i="1"/>
  <c r="G728" i="1"/>
  <c r="D728" i="1"/>
  <c r="C728"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D704" i="1"/>
  <c r="H704" i="1" s="1"/>
  <c r="C704" i="1"/>
  <c r="H703" i="1"/>
  <c r="G703" i="1"/>
  <c r="D703" i="1"/>
  <c r="C703" i="1"/>
  <c r="H702" i="1"/>
  <c r="G702" i="1"/>
  <c r="D702" i="1"/>
  <c r="C702" i="1"/>
  <c r="H701" i="1"/>
  <c r="G701" i="1"/>
  <c r="D701" i="1"/>
  <c r="C701" i="1"/>
  <c r="H700" i="1"/>
  <c r="G700" i="1"/>
  <c r="D700" i="1"/>
  <c r="C700" i="1"/>
  <c r="H699" i="1"/>
  <c r="D699" i="1"/>
  <c r="G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D667" i="1"/>
  <c r="G667" i="1" s="1"/>
  <c r="C667" i="1"/>
  <c r="H666" i="1"/>
  <c r="G666" i="1"/>
  <c r="D666" i="1"/>
  <c r="C666" i="1"/>
  <c r="H665" i="1"/>
  <c r="G665" i="1"/>
  <c r="D665" i="1"/>
  <c r="C665" i="1"/>
  <c r="H664" i="1"/>
  <c r="G664" i="1"/>
  <c r="D664" i="1"/>
  <c r="C664" i="1"/>
  <c r="H663" i="1"/>
  <c r="D663" i="1"/>
  <c r="G663" i="1" s="1"/>
  <c r="C663" i="1"/>
  <c r="D662" i="1"/>
  <c r="H662" i="1" s="1"/>
  <c r="C662" i="1"/>
  <c r="H661" i="1"/>
  <c r="G661" i="1"/>
  <c r="D661" i="1"/>
  <c r="C661" i="1"/>
  <c r="H660" i="1"/>
  <c r="G660" i="1"/>
  <c r="D660" i="1"/>
  <c r="C660" i="1"/>
  <c r="H659" i="1"/>
  <c r="G659" i="1"/>
  <c r="D659" i="1"/>
  <c r="C659" i="1"/>
  <c r="H658" i="1"/>
  <c r="G658" i="1"/>
  <c r="D658" i="1"/>
  <c r="C658" i="1"/>
  <c r="D657" i="1"/>
  <c r="H657" i="1" s="1"/>
  <c r="C657" i="1"/>
  <c r="H656" i="1"/>
  <c r="G656" i="1"/>
  <c r="D656" i="1"/>
  <c r="C656" i="1"/>
  <c r="H655" i="1"/>
  <c r="G655" i="1"/>
  <c r="D655" i="1"/>
  <c r="C655" i="1"/>
  <c r="H654" i="1"/>
  <c r="G654" i="1"/>
  <c r="D654" i="1"/>
  <c r="C654" i="1"/>
  <c r="H653" i="1"/>
  <c r="D653" i="1"/>
  <c r="G653" i="1" s="1"/>
  <c r="C653" i="1"/>
  <c r="H652" i="1"/>
  <c r="G652" i="1"/>
  <c r="D652" i="1"/>
  <c r="C652" i="1"/>
  <c r="H651" i="1"/>
  <c r="D651" i="1"/>
  <c r="G651" i="1" s="1"/>
  <c r="C651" i="1"/>
  <c r="H650" i="1"/>
  <c r="G650" i="1"/>
  <c r="D650" i="1"/>
  <c r="C650" i="1"/>
  <c r="C649" i="1"/>
  <c r="D648" i="1"/>
  <c r="H648" i="1" s="1"/>
  <c r="C648" i="1"/>
  <c r="G647" i="1"/>
  <c r="D647" i="1"/>
  <c r="H647" i="1" s="1"/>
  <c r="C647" i="1"/>
  <c r="D646" i="1"/>
  <c r="H646" i="1" s="1"/>
  <c r="C646" i="1"/>
  <c r="D645" i="1"/>
  <c r="H645" i="1" s="1"/>
  <c r="C645" i="1"/>
  <c r="C642" i="1"/>
  <c r="H636"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C422" i="1"/>
  <c r="C421" i="1"/>
  <c r="D416" i="1"/>
  <c r="H416" i="1" s="1"/>
  <c r="C416" i="1"/>
  <c r="G415" i="1"/>
  <c r="D415" i="1"/>
  <c r="H415" i="1" s="1"/>
  <c r="C415" i="1"/>
  <c r="D414" i="1"/>
  <c r="H414" i="1" s="1"/>
  <c r="C414" i="1"/>
  <c r="D411" i="1"/>
  <c r="H411" i="1" s="1"/>
  <c r="C411" i="1"/>
  <c r="H410" i="1"/>
  <c r="G410" i="1"/>
  <c r="D410" i="1"/>
  <c r="C410" i="1"/>
  <c r="H409" i="1"/>
  <c r="G409" i="1"/>
  <c r="D409" i="1"/>
  <c r="C409" i="1"/>
  <c r="H408" i="1"/>
  <c r="D408" i="1"/>
  <c r="G408" i="1" s="1"/>
  <c r="C408"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D376" i="1"/>
  <c r="H376" i="1" s="1"/>
  <c r="C376" i="1"/>
  <c r="G375" i="1"/>
  <c r="D375" i="1"/>
  <c r="H375" i="1" s="1"/>
  <c r="C375" i="1"/>
  <c r="C374" i="1"/>
  <c r="D373" i="1"/>
  <c r="H373" i="1" s="1"/>
  <c r="C373" i="1"/>
  <c r="D372" i="1"/>
  <c r="G372" i="1" s="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D302" i="1"/>
  <c r="G302" i="1" s="1"/>
  <c r="C302" i="1"/>
  <c r="D301" i="1"/>
  <c r="H301" i="1" s="1"/>
  <c r="C301" i="1"/>
  <c r="H300" i="1"/>
  <c r="G300" i="1"/>
  <c r="D300" i="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D286" i="1"/>
  <c r="G286" i="1" s="1"/>
  <c r="C286" i="1"/>
  <c r="C285" i="1"/>
  <c r="H284" i="1"/>
  <c r="G284" i="1"/>
  <c r="D284" i="1"/>
  <c r="C284" i="1"/>
  <c r="H283" i="1"/>
  <c r="G283" i="1"/>
  <c r="D283" i="1"/>
  <c r="C283" i="1"/>
  <c r="H282" i="1"/>
  <c r="G282" i="1"/>
  <c r="D282" i="1"/>
  <c r="C282" i="1"/>
  <c r="H281" i="1"/>
  <c r="D281" i="1"/>
  <c r="G281" i="1" s="1"/>
  <c r="C281" i="1"/>
  <c r="D280" i="1"/>
  <c r="G280" i="1" s="1"/>
  <c r="C280" i="1"/>
  <c r="D279" i="1"/>
  <c r="G279" i="1" s="1"/>
  <c r="C279" i="1"/>
  <c r="H278" i="1"/>
  <c r="G278" i="1"/>
  <c r="D278" i="1"/>
  <c r="C278" i="1"/>
  <c r="H277" i="1"/>
  <c r="G277" i="1"/>
  <c r="D277" i="1"/>
  <c r="C277" i="1"/>
  <c r="H276" i="1"/>
  <c r="G276" i="1"/>
  <c r="D276" i="1"/>
  <c r="C276" i="1"/>
  <c r="H275" i="1"/>
  <c r="G275" i="1"/>
  <c r="D275" i="1"/>
  <c r="C275" i="1"/>
  <c r="H274" i="1"/>
  <c r="D274" i="1"/>
  <c r="G274" i="1" s="1"/>
  <c r="C274" i="1"/>
  <c r="H273" i="1"/>
  <c r="G273" i="1"/>
  <c r="D273" i="1"/>
  <c r="C273" i="1"/>
  <c r="H272" i="1"/>
  <c r="G272" i="1"/>
  <c r="D272" i="1"/>
  <c r="C272" i="1"/>
  <c r="H271" i="1"/>
  <c r="G271" i="1"/>
  <c r="D271" i="1"/>
  <c r="C271" i="1"/>
  <c r="H270" i="1"/>
  <c r="D270" i="1"/>
  <c r="G270" i="1" s="1"/>
  <c r="C270" i="1"/>
  <c r="C269" i="1"/>
  <c r="H268" i="1"/>
  <c r="G268" i="1"/>
  <c r="D268" i="1"/>
  <c r="C268" i="1"/>
  <c r="H267" i="1"/>
  <c r="G267" i="1"/>
  <c r="D267" i="1"/>
  <c r="C267" i="1"/>
  <c r="D266" i="1"/>
  <c r="G266" i="1" s="1"/>
  <c r="C266" i="1"/>
  <c r="C265" i="1"/>
  <c r="H264" i="1"/>
  <c r="G264" i="1"/>
  <c r="D264" i="1"/>
  <c r="C264" i="1"/>
  <c r="H263" i="1"/>
  <c r="G263" i="1"/>
  <c r="D263" i="1"/>
  <c r="C263" i="1"/>
  <c r="D262" i="1"/>
  <c r="G262" i="1" s="1"/>
  <c r="C262" i="1"/>
  <c r="H261" i="1"/>
  <c r="D261" i="1"/>
  <c r="G261" i="1" s="1"/>
  <c r="C261" i="1"/>
  <c r="H260" i="1"/>
  <c r="G260" i="1"/>
  <c r="D260" i="1"/>
  <c r="C260"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D247" i="1"/>
  <c r="H247" i="1" s="1"/>
  <c r="C247"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D220" i="1"/>
  <c r="G220" i="1" s="1"/>
  <c r="C220" i="1"/>
  <c r="H219" i="1"/>
  <c r="G219" i="1"/>
  <c r="D219" i="1"/>
  <c r="C219" i="1"/>
  <c r="H218" i="1"/>
  <c r="G218" i="1"/>
  <c r="D218" i="1"/>
  <c r="C218" i="1"/>
  <c r="C217" i="1"/>
  <c r="H216" i="1"/>
  <c r="D216" i="1"/>
  <c r="G216" i="1" s="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G197" i="1" s="1"/>
  <c r="C197" i="1"/>
  <c r="D196" i="1"/>
  <c r="G196" i="1" s="1"/>
  <c r="C196" i="1"/>
  <c r="G195" i="1"/>
  <c r="D195" i="1"/>
  <c r="H195" i="1" s="1"/>
  <c r="C195" i="1"/>
  <c r="G194" i="1"/>
  <c r="D194" i="1"/>
  <c r="H194" i="1" s="1"/>
  <c r="C194" i="1"/>
  <c r="H193" i="1"/>
  <c r="G193" i="1"/>
  <c r="D193" i="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G184" i="1"/>
  <c r="D184" i="1"/>
  <c r="H184" i="1" s="1"/>
  <c r="C184" i="1"/>
  <c r="H183" i="1"/>
  <c r="G183" i="1"/>
  <c r="D183" i="1"/>
  <c r="C183" i="1"/>
  <c r="D182" i="1"/>
  <c r="H182" i="1" s="1"/>
  <c r="C182" i="1"/>
  <c r="D181" i="1"/>
  <c r="G181" i="1" s="1"/>
  <c r="C181" i="1"/>
  <c r="D180" i="1"/>
  <c r="G180" i="1" s="1"/>
  <c r="C180" i="1"/>
  <c r="D179" i="1"/>
  <c r="H179" i="1" s="1"/>
  <c r="C179" i="1"/>
  <c r="D178" i="1"/>
  <c r="G178" i="1" s="1"/>
  <c r="C178" i="1"/>
  <c r="D177" i="1"/>
  <c r="H177" i="1" s="1"/>
  <c r="C177" i="1"/>
  <c r="D176" i="1"/>
  <c r="H176" i="1" s="1"/>
  <c r="C176" i="1"/>
  <c r="G175" i="1"/>
  <c r="D175" i="1"/>
  <c r="H175" i="1" s="1"/>
  <c r="C175" i="1"/>
  <c r="C174" i="1"/>
  <c r="H173" i="1"/>
  <c r="G173" i="1"/>
  <c r="D173" i="1"/>
  <c r="C173" i="1"/>
  <c r="H172" i="1"/>
  <c r="G172" i="1"/>
  <c r="D172" i="1"/>
  <c r="C172" i="1"/>
  <c r="D171" i="1"/>
  <c r="H171" i="1" s="1"/>
  <c r="C171" i="1"/>
  <c r="H170" i="1"/>
  <c r="G170" i="1"/>
  <c r="D170" i="1"/>
  <c r="C170" i="1"/>
  <c r="D169" i="1"/>
  <c r="H169" i="1" s="1"/>
  <c r="C169" i="1"/>
  <c r="H168" i="1"/>
  <c r="D168" i="1"/>
  <c r="G168" i="1" s="1"/>
  <c r="C168" i="1"/>
  <c r="D167" i="1"/>
  <c r="H167" i="1" s="1"/>
  <c r="C167" i="1"/>
  <c r="C166" i="1"/>
  <c r="D165" i="1"/>
  <c r="H165" i="1" s="1"/>
  <c r="C165" i="1"/>
  <c r="H164" i="1"/>
  <c r="G164" i="1"/>
  <c r="D164" i="1"/>
  <c r="C164" i="1"/>
  <c r="H163" i="1"/>
  <c r="G163" i="1"/>
  <c r="D163" i="1"/>
  <c r="C163" i="1"/>
  <c r="D162" i="1"/>
  <c r="H162" i="1" s="1"/>
  <c r="C162" i="1"/>
  <c r="C161" i="1"/>
  <c r="H159" i="1"/>
  <c r="G159" i="1"/>
  <c r="D159" i="1"/>
  <c r="C159" i="1"/>
  <c r="H158" i="1"/>
  <c r="D158" i="1"/>
  <c r="G158" i="1" s="1"/>
  <c r="C158" i="1"/>
  <c r="H157" i="1"/>
  <c r="G157" i="1"/>
  <c r="D157" i="1"/>
  <c r="C157" i="1"/>
  <c r="C156" i="1"/>
  <c r="H155" i="1"/>
  <c r="G155" i="1"/>
  <c r="D155" i="1"/>
  <c r="C155" i="1"/>
  <c r="H154" i="1"/>
  <c r="G154" i="1"/>
  <c r="D154" i="1"/>
  <c r="C154" i="1"/>
  <c r="H153" i="1"/>
  <c r="G153" i="1"/>
  <c r="D153" i="1"/>
  <c r="C153" i="1"/>
  <c r="H152" i="1"/>
  <c r="G152" i="1"/>
  <c r="D152" i="1"/>
  <c r="C152" i="1"/>
  <c r="D151" i="1"/>
  <c r="H151" i="1" s="1"/>
  <c r="C151" i="1"/>
  <c r="D150" i="1"/>
  <c r="H150" i="1" s="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5" i="1"/>
  <c r="H135" i="1" s="1"/>
  <c r="C135" i="1"/>
  <c r="H134" i="1"/>
  <c r="D134" i="1"/>
  <c r="G134" i="1" s="1"/>
  <c r="C134" i="1"/>
  <c r="H133" i="1"/>
  <c r="D133" i="1"/>
  <c r="G133" i="1" s="1"/>
  <c r="C133" i="1"/>
  <c r="H132" i="1"/>
  <c r="D132" i="1"/>
  <c r="G132" i="1" s="1"/>
  <c r="C132" i="1"/>
  <c r="D131" i="1"/>
  <c r="G131" i="1" s="1"/>
  <c r="C131" i="1"/>
  <c r="H129" i="1"/>
  <c r="G129" i="1"/>
  <c r="D129" i="1"/>
  <c r="C129" i="1"/>
  <c r="H128" i="1"/>
  <c r="G128" i="1"/>
  <c r="D128" i="1"/>
  <c r="C128" i="1"/>
  <c r="H127" i="1"/>
  <c r="G127" i="1"/>
  <c r="D127" i="1"/>
  <c r="C127" i="1"/>
  <c r="D126" i="1"/>
  <c r="G126" i="1" s="1"/>
  <c r="C126" i="1"/>
  <c r="G125" i="1"/>
  <c r="D125" i="1"/>
  <c r="H125" i="1" s="1"/>
  <c r="C125" i="1"/>
  <c r="D124" i="1"/>
  <c r="C124" i="1"/>
  <c r="H123" i="1"/>
  <c r="G123" i="1"/>
  <c r="D123" i="1"/>
  <c r="C123" i="1"/>
  <c r="C122" i="1"/>
  <c r="H120" i="1"/>
  <c r="G120" i="1"/>
  <c r="D120" i="1"/>
  <c r="C120" i="1"/>
  <c r="H119" i="1"/>
  <c r="G119" i="1"/>
  <c r="D119" i="1"/>
  <c r="C119" i="1"/>
  <c r="G118" i="1"/>
  <c r="D118" i="1"/>
  <c r="H118" i="1" s="1"/>
  <c r="C118" i="1"/>
  <c r="D117" i="1"/>
  <c r="H117" i="1" s="1"/>
  <c r="C117" i="1"/>
  <c r="D116" i="1"/>
  <c r="H116" i="1" s="1"/>
  <c r="C116" i="1"/>
  <c r="H115" i="1"/>
  <c r="G115" i="1"/>
  <c r="D115" i="1"/>
  <c r="C115" i="1"/>
  <c r="H114" i="1"/>
  <c r="G114" i="1"/>
  <c r="D114" i="1"/>
  <c r="C114" i="1"/>
  <c r="D113" i="1"/>
  <c r="H113" i="1" s="1"/>
  <c r="C113" i="1"/>
  <c r="H112" i="1"/>
  <c r="G112" i="1"/>
  <c r="D112" i="1"/>
  <c r="C112" i="1"/>
  <c r="D111" i="1"/>
  <c r="G111" i="1" s="1"/>
  <c r="C111" i="1"/>
  <c r="H110" i="1"/>
  <c r="G110" i="1"/>
  <c r="D110" i="1"/>
  <c r="C110" i="1"/>
  <c r="H109" i="1"/>
  <c r="G109" i="1"/>
  <c r="D109" i="1"/>
  <c r="C109" i="1"/>
  <c r="C108" i="1"/>
  <c r="D107" i="1"/>
  <c r="H107" i="1" s="1"/>
  <c r="C107" i="1"/>
  <c r="H106" i="1"/>
  <c r="G106" i="1"/>
  <c r="D106" i="1"/>
  <c r="C106" i="1"/>
  <c r="H105" i="1"/>
  <c r="G105" i="1"/>
  <c r="D105" i="1"/>
  <c r="C105" i="1"/>
  <c r="H104" i="1"/>
  <c r="G104" i="1"/>
  <c r="D104" i="1"/>
  <c r="C104"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D88" i="1"/>
  <c r="H88" i="1" s="1"/>
  <c r="C88"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C25" i="1"/>
  <c r="H24" i="1"/>
  <c r="G24" i="1"/>
  <c r="D24" i="1"/>
  <c r="C24" i="1"/>
  <c r="H23" i="1"/>
  <c r="G23" i="1"/>
  <c r="D23" i="1"/>
  <c r="C23" i="1"/>
  <c r="H22" i="1"/>
  <c r="G22" i="1"/>
  <c r="D22" i="1"/>
  <c r="C22" i="1"/>
  <c r="H21" i="1"/>
  <c r="G21" i="1"/>
  <c r="D21" i="1"/>
  <c r="C21" i="1"/>
  <c r="D20" i="1"/>
  <c r="G20" i="1" s="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D8" i="1"/>
  <c r="H8" i="1" s="1"/>
  <c r="C8" i="1"/>
  <c r="H7" i="1"/>
  <c r="G7" i="1"/>
  <c r="D7" i="1"/>
  <c r="C7" i="1"/>
  <c r="H6" i="1"/>
  <c r="G6" i="1"/>
  <c r="D6" i="1"/>
  <c r="C6" i="1"/>
  <c r="H5" i="1"/>
  <c r="D5" i="1"/>
  <c r="G5" i="1" s="1"/>
  <c r="C5" i="1"/>
  <c r="D4" i="1"/>
  <c r="H4" i="1" s="1"/>
  <c r="C4" i="1"/>
  <c r="E322" i="9" l="1"/>
  <c r="B322" i="9" s="1"/>
  <c r="E329" i="9"/>
  <c r="B329" i="9" s="1"/>
  <c r="E37" i="9"/>
  <c r="B37" i="9" s="1"/>
  <c r="E31" i="9"/>
  <c r="H1018" i="1"/>
  <c r="D251" i="5"/>
  <c r="C1255" i="1" s="1"/>
  <c r="D255" i="5"/>
  <c r="C1259" i="1" s="1"/>
  <c r="C1256" i="1"/>
  <c r="H1256" i="1" s="1"/>
  <c r="G301" i="1"/>
  <c r="F274" i="5"/>
  <c r="E304" i="9"/>
  <c r="B304" i="9" s="1"/>
  <c r="G1385" i="1"/>
  <c r="G1391" i="1"/>
  <c r="G1183" i="1"/>
  <c r="G1178" i="1"/>
  <c r="G1176" i="1"/>
  <c r="F52" i="5"/>
  <c r="H1512" i="1"/>
  <c r="D51" i="8"/>
  <c r="C1628" i="1" s="1"/>
  <c r="H1613" i="1"/>
  <c r="C1604" i="1"/>
  <c r="G1604" i="1" s="1"/>
  <c r="H1587" i="1"/>
  <c r="F242" i="9"/>
  <c r="B242" i="9" s="1"/>
  <c r="G735" i="1"/>
  <c r="E26" i="9"/>
  <c r="B26" i="9" s="1"/>
  <c r="F656" i="4"/>
  <c r="G645" i="1"/>
  <c r="E294" i="9"/>
  <c r="B294" i="9" s="1"/>
  <c r="H181" i="1"/>
  <c r="H178" i="1"/>
  <c r="G176" i="1"/>
  <c r="G165" i="1"/>
  <c r="F154" i="4"/>
  <c r="G135" i="1"/>
  <c r="H131" i="1"/>
  <c r="H126" i="1"/>
  <c r="E125" i="4"/>
  <c r="D121" i="1" s="1"/>
  <c r="H1034" i="1"/>
  <c r="H1290" i="1"/>
  <c r="G1342" i="1"/>
  <c r="H1316" i="1"/>
  <c r="H1308" i="1"/>
  <c r="H1300" i="1"/>
  <c r="E335" i="9"/>
  <c r="B335" i="9" s="1"/>
  <c r="G1294" i="1"/>
  <c r="H1292" i="1"/>
  <c r="D1281" i="1"/>
  <c r="H1281" i="1" s="1"/>
  <c r="H1282" i="1"/>
  <c r="G1278" i="1"/>
  <c r="H1270" i="1"/>
  <c r="H1268" i="1"/>
  <c r="E305" i="9"/>
  <c r="B305" i="9" s="1"/>
  <c r="F260" i="5"/>
  <c r="G1262" i="1"/>
  <c r="H1260" i="1"/>
  <c r="G1258" i="1"/>
  <c r="G1199" i="1"/>
  <c r="G1185" i="1"/>
  <c r="G1188" i="1"/>
  <c r="G1169" i="1"/>
  <c r="G1165" i="1"/>
  <c r="E135" i="5"/>
  <c r="D1140" i="1" s="1"/>
  <c r="H1076" i="1"/>
  <c r="G1076" i="1"/>
  <c r="H1078" i="1"/>
  <c r="G1062" i="1"/>
  <c r="G1054" i="1"/>
  <c r="F45" i="5"/>
  <c r="G1050" i="1"/>
  <c r="H1040" i="1"/>
  <c r="G1040" i="1"/>
  <c r="F35" i="5"/>
  <c r="D1024" i="1"/>
  <c r="H1024" i="1" s="1"/>
  <c r="H1030" i="1"/>
  <c r="G1029" i="1"/>
  <c r="G1027" i="1"/>
  <c r="G1024" i="1"/>
  <c r="E12" i="5"/>
  <c r="D1017" i="1" s="1"/>
  <c r="H1017" i="1" s="1"/>
  <c r="G1018" i="1"/>
  <c r="D1013" i="1"/>
  <c r="G1013" i="1" s="1"/>
  <c r="G1014" i="1"/>
  <c r="H1539" i="1"/>
  <c r="G1539" i="1"/>
  <c r="G1542" i="1"/>
  <c r="H1542" i="1"/>
  <c r="G1531" i="1"/>
  <c r="G1529" i="1"/>
  <c r="F129" i="6"/>
  <c r="H1518" i="1"/>
  <c r="H1514" i="1"/>
  <c r="G1511" i="1"/>
  <c r="H1511" i="1"/>
  <c r="F115" i="6"/>
  <c r="E114" i="6"/>
  <c r="E141" i="6" s="1"/>
  <c r="H1507" i="1"/>
  <c r="H1500" i="1"/>
  <c r="H1478" i="1"/>
  <c r="D1471" i="1"/>
  <c r="G1471" i="1" s="1"/>
  <c r="H1471" i="1"/>
  <c r="H1456" i="1"/>
  <c r="F54" i="6"/>
  <c r="E35" i="6"/>
  <c r="I28" i="3" s="1"/>
  <c r="D1431" i="1"/>
  <c r="H1436" i="1"/>
  <c r="H1424" i="1"/>
  <c r="H1412" i="1"/>
  <c r="G1409" i="1"/>
  <c r="D1401" i="1"/>
  <c r="H1402" i="1"/>
  <c r="D1402" i="1"/>
  <c r="G1402" i="1" s="1"/>
  <c r="C1681" i="1"/>
  <c r="G1609" i="1"/>
  <c r="H1605" i="1"/>
  <c r="G1592" i="1"/>
  <c r="C1585" i="1"/>
  <c r="G1585" i="1" s="1"/>
  <c r="G850" i="1"/>
  <c r="G843" i="1"/>
  <c r="G841" i="1"/>
  <c r="G839" i="1"/>
  <c r="G836" i="1"/>
  <c r="G733" i="1"/>
  <c r="G731" i="1"/>
  <c r="H727" i="1"/>
  <c r="G704" i="1"/>
  <c r="G662" i="1"/>
  <c r="G657" i="1"/>
  <c r="B296" i="9"/>
  <c r="G648" i="1"/>
  <c r="G646" i="1"/>
  <c r="G649" i="1"/>
  <c r="G635" i="1"/>
  <c r="G423" i="1"/>
  <c r="G416" i="1"/>
  <c r="G414" i="1"/>
  <c r="G411" i="1"/>
  <c r="H407" i="1"/>
  <c r="G407" i="1"/>
  <c r="F412" i="4"/>
  <c r="G381" i="1"/>
  <c r="G376" i="1"/>
  <c r="G374" i="1"/>
  <c r="E373" i="4"/>
  <c r="D368" i="1" s="1"/>
  <c r="G373" i="1"/>
  <c r="H372" i="1"/>
  <c r="D369" i="1"/>
  <c r="F428" i="4"/>
  <c r="H421" i="1"/>
  <c r="G421" i="1"/>
  <c r="E648" i="4"/>
  <c r="D642" i="1" s="1"/>
  <c r="G422" i="1"/>
  <c r="G285" i="1"/>
  <c r="H285" i="1"/>
  <c r="F289" i="4"/>
  <c r="H279" i="1"/>
  <c r="H280" i="1"/>
  <c r="F278" i="4"/>
  <c r="G269" i="1"/>
  <c r="H269" i="1"/>
  <c r="F274" i="4"/>
  <c r="F247" i="9"/>
  <c r="E83" i="9"/>
  <c r="B83" i="9" s="1"/>
  <c r="H265" i="1"/>
  <c r="G265" i="1"/>
  <c r="H266" i="1"/>
  <c r="E79" i="9"/>
  <c r="H262" i="1"/>
  <c r="H259" i="1"/>
  <c r="G259" i="1"/>
  <c r="E262" i="4"/>
  <c r="D258" i="1" s="1"/>
  <c r="H246" i="1"/>
  <c r="G247" i="1"/>
  <c r="E230" i="4"/>
  <c r="D226" i="1" s="1"/>
  <c r="H217" i="1"/>
  <c r="G217" i="1"/>
  <c r="F221" i="4"/>
  <c r="E202" i="4"/>
  <c r="D198" i="1" s="1"/>
  <c r="F216" i="4"/>
  <c r="G212" i="1"/>
  <c r="H197" i="1"/>
  <c r="H196" i="1"/>
  <c r="B56" i="9"/>
  <c r="B243" i="9"/>
  <c r="E55" i="9"/>
  <c r="B55" i="9" s="1"/>
  <c r="G192" i="1"/>
  <c r="H190" i="1"/>
  <c r="G190" i="1"/>
  <c r="F194" i="4"/>
  <c r="E54" i="9"/>
  <c r="B54" i="9" s="1"/>
  <c r="F241" i="9"/>
  <c r="G182" i="1"/>
  <c r="F239" i="9"/>
  <c r="B239" i="9" s="1"/>
  <c r="H180" i="1"/>
  <c r="G179" i="1"/>
  <c r="E50" i="9"/>
  <c r="B50" i="9" s="1"/>
  <c r="G177" i="1"/>
  <c r="H174" i="1"/>
  <c r="G174" i="1"/>
  <c r="F178" i="4"/>
  <c r="G171" i="1"/>
  <c r="G169" i="1"/>
  <c r="F170" i="4"/>
  <c r="G167" i="1"/>
  <c r="G166" i="1"/>
  <c r="H161" i="1"/>
  <c r="G161" i="1"/>
  <c r="F165" i="4"/>
  <c r="G162" i="1"/>
  <c r="E164" i="4"/>
  <c r="D160" i="1" s="1"/>
  <c r="G156" i="1"/>
  <c r="H156" i="1"/>
  <c r="B48" i="9"/>
  <c r="G151" i="1"/>
  <c r="G150" i="1"/>
  <c r="G147" i="1"/>
  <c r="D122" i="1"/>
  <c r="G124" i="1"/>
  <c r="H124" i="1"/>
  <c r="G117" i="1"/>
  <c r="G116" i="1"/>
  <c r="G113" i="1"/>
  <c r="E46" i="9"/>
  <c r="B46" i="9" s="1"/>
  <c r="H108" i="1"/>
  <c r="G108" i="1"/>
  <c r="H111" i="1"/>
  <c r="G103" i="1"/>
  <c r="G107" i="1"/>
  <c r="E106" i="4"/>
  <c r="D102" i="1" s="1"/>
  <c r="G89" i="1"/>
  <c r="D87" i="1"/>
  <c r="H87" i="1" s="1"/>
  <c r="G87" i="1"/>
  <c r="G88" i="1"/>
  <c r="H79" i="1"/>
  <c r="G81" i="1"/>
  <c r="D70" i="1"/>
  <c r="G54" i="1"/>
  <c r="G55" i="1"/>
  <c r="E30" i="9"/>
  <c r="B30" i="9" s="1"/>
  <c r="G25" i="1"/>
  <c r="H25" i="1"/>
  <c r="H19" i="1"/>
  <c r="G19" i="1"/>
  <c r="H20" i="1"/>
  <c r="F229" i="9"/>
  <c r="B229" i="9" s="1"/>
  <c r="F23" i="4"/>
  <c r="G8" i="1"/>
  <c r="G4" i="1"/>
  <c r="F8" i="4"/>
  <c r="H149" i="1"/>
  <c r="G149" i="1"/>
  <c r="J1568" i="1"/>
  <c r="H1568" i="1"/>
  <c r="G1568" i="1"/>
  <c r="H1265" i="1"/>
  <c r="G1265" i="1"/>
  <c r="H1271" i="1"/>
  <c r="G1271" i="1"/>
  <c r="H1287" i="1"/>
  <c r="G1287" i="1"/>
  <c r="H1297" i="1"/>
  <c r="G1297" i="1"/>
  <c r="H1319" i="1"/>
  <c r="G1319" i="1"/>
  <c r="G1345" i="1"/>
  <c r="H1345" i="1"/>
  <c r="H1394" i="1"/>
  <c r="G1394" i="1"/>
  <c r="G1427" i="1"/>
  <c r="H1427" i="1"/>
  <c r="J1558" i="1"/>
  <c r="H1558" i="1"/>
  <c r="G1558" i="1"/>
  <c r="I1558" i="1" s="1"/>
  <c r="G951" i="1"/>
  <c r="H955" i="1"/>
  <c r="G967" i="1"/>
  <c r="H971" i="1"/>
  <c r="G983" i="1"/>
  <c r="H987" i="1"/>
  <c r="G999" i="1"/>
  <c r="H1003" i="1"/>
  <c r="G1025" i="1"/>
  <c r="H1029" i="1"/>
  <c r="G1041" i="1"/>
  <c r="H1045" i="1"/>
  <c r="G1057" i="1"/>
  <c r="H1061" i="1"/>
  <c r="G1073" i="1"/>
  <c r="G1083" i="1"/>
  <c r="H1087" i="1"/>
  <c r="G1095" i="1"/>
  <c r="H1099" i="1"/>
  <c r="G1111" i="1"/>
  <c r="H1115" i="1"/>
  <c r="G1127" i="1"/>
  <c r="H1131" i="1"/>
  <c r="G1143" i="1"/>
  <c r="H1153" i="1"/>
  <c r="G1159" i="1"/>
  <c r="H1161" i="1"/>
  <c r="G1167" i="1"/>
  <c r="H1169" i="1"/>
  <c r="G1187" i="1"/>
  <c r="H1189" i="1"/>
  <c r="G1195" i="1"/>
  <c r="H1197" i="1"/>
  <c r="G1238" i="1"/>
  <c r="G1254" i="1"/>
  <c r="G1268" i="1"/>
  <c r="G1284" i="1"/>
  <c r="G1300" i="1"/>
  <c r="G1316" i="1"/>
  <c r="G1332" i="1"/>
  <c r="H1398" i="1"/>
  <c r="G1398" i="1"/>
  <c r="G1397" i="1"/>
  <c r="H1397" i="1"/>
  <c r="H1235" i="1"/>
  <c r="G1235" i="1"/>
  <c r="H1241" i="1"/>
  <c r="G1241" i="1"/>
  <c r="H1251" i="1"/>
  <c r="G1251" i="1"/>
  <c r="H1303" i="1"/>
  <c r="G1303" i="1"/>
  <c r="H1313" i="1"/>
  <c r="G1313" i="1"/>
  <c r="H1329" i="1"/>
  <c r="G1329" i="1"/>
  <c r="H1335" i="1"/>
  <c r="G1335" i="1"/>
  <c r="H1495" i="1"/>
  <c r="G1495" i="1"/>
  <c r="H953" i="1"/>
  <c r="G965" i="1"/>
  <c r="H969" i="1"/>
  <c r="G981" i="1"/>
  <c r="H985" i="1"/>
  <c r="G997" i="1"/>
  <c r="H1001" i="1"/>
  <c r="G1023" i="1"/>
  <c r="H1027" i="1"/>
  <c r="G1039" i="1"/>
  <c r="H1043" i="1"/>
  <c r="G1055" i="1"/>
  <c r="H1059" i="1"/>
  <c r="G1071" i="1"/>
  <c r="G1081" i="1"/>
  <c r="H1085" i="1"/>
  <c r="H1097" i="1"/>
  <c r="G1109" i="1"/>
  <c r="H1113" i="1"/>
  <c r="G1125" i="1"/>
  <c r="H1129" i="1"/>
  <c r="G1141" i="1"/>
  <c r="H1145" i="1"/>
  <c r="G1173" i="1"/>
  <c r="H1175" i="1"/>
  <c r="G1203" i="1"/>
  <c r="H1205" i="1"/>
  <c r="G1211" i="1"/>
  <c r="H1213" i="1"/>
  <c r="G1219" i="1"/>
  <c r="H1221" i="1"/>
  <c r="G1227" i="1"/>
  <c r="H1229" i="1"/>
  <c r="H1239" i="1"/>
  <c r="G1239" i="1"/>
  <c r="H1242" i="1"/>
  <c r="G1242" i="1"/>
  <c r="H1269" i="1"/>
  <c r="G1269" i="1"/>
  <c r="H1272" i="1"/>
  <c r="G1272" i="1"/>
  <c r="H1285" i="1"/>
  <c r="G1285" i="1"/>
  <c r="H1288" i="1"/>
  <c r="G1288" i="1"/>
  <c r="H1301" i="1"/>
  <c r="G1301" i="1"/>
  <c r="H1304" i="1"/>
  <c r="G1304" i="1"/>
  <c r="H1317" i="1"/>
  <c r="G1317" i="1"/>
  <c r="H1320" i="1"/>
  <c r="G1320" i="1"/>
  <c r="H1333" i="1"/>
  <c r="G1333" i="1"/>
  <c r="H1336" i="1"/>
  <c r="G1336" i="1"/>
  <c r="G1395" i="1"/>
  <c r="H1395" i="1"/>
  <c r="H1432" i="1"/>
  <c r="G1432" i="1"/>
  <c r="G1363" i="1"/>
  <c r="H1363" i="1"/>
  <c r="H1633" i="1"/>
  <c r="G1633" i="1"/>
  <c r="G956" i="1"/>
  <c r="G961" i="1"/>
  <c r="G977" i="1"/>
  <c r="G993" i="1"/>
  <c r="G1009" i="1"/>
  <c r="G1019" i="1"/>
  <c r="H1023" i="1"/>
  <c r="G1035" i="1"/>
  <c r="G1051" i="1"/>
  <c r="G1067" i="1"/>
  <c r="G1077" i="1"/>
  <c r="G1105" i="1"/>
  <c r="G1121" i="1"/>
  <c r="G1137" i="1"/>
  <c r="G1149" i="1"/>
  <c r="G1171" i="1"/>
  <c r="G1179" i="1"/>
  <c r="G1201" i="1"/>
  <c r="G1209" i="1"/>
  <c r="G1217" i="1"/>
  <c r="G1225" i="1"/>
  <c r="G1233" i="1"/>
  <c r="H1233" i="1"/>
  <c r="H1243" i="1"/>
  <c r="G1243" i="1"/>
  <c r="H1249" i="1"/>
  <c r="G1249" i="1"/>
  <c r="H1263" i="1"/>
  <c r="G1263" i="1"/>
  <c r="H1273" i="1"/>
  <c r="G1273" i="1"/>
  <c r="H1279" i="1"/>
  <c r="G1279" i="1"/>
  <c r="H1289" i="1"/>
  <c r="G1289" i="1"/>
  <c r="H1295" i="1"/>
  <c r="G1295" i="1"/>
  <c r="H1305" i="1"/>
  <c r="G1305" i="1"/>
  <c r="H1311" i="1"/>
  <c r="G1311" i="1"/>
  <c r="H1321" i="1"/>
  <c r="G1321" i="1"/>
  <c r="H1327" i="1"/>
  <c r="G1327" i="1"/>
  <c r="H1337" i="1"/>
  <c r="G1337" i="1"/>
  <c r="H1343" i="1"/>
  <c r="G1343" i="1"/>
  <c r="H1360" i="1"/>
  <c r="G1379" i="1"/>
  <c r="H1379" i="1"/>
  <c r="H1382" i="1"/>
  <c r="G1382" i="1"/>
  <c r="H1392" i="1"/>
  <c r="G1392" i="1"/>
  <c r="H1446" i="1"/>
  <c r="G1446" i="1"/>
  <c r="H1452" i="1"/>
  <c r="G1452" i="1"/>
  <c r="H1593" i="1"/>
  <c r="G1593" i="1"/>
  <c r="G314" i="9"/>
  <c r="D88" i="5"/>
  <c r="F89" i="5"/>
  <c r="C1094" i="1"/>
  <c r="E255" i="5"/>
  <c r="D1259" i="1" s="1"/>
  <c r="G1259" i="1" s="1"/>
  <c r="F256" i="5"/>
  <c r="H1430" i="1"/>
  <c r="G1430" i="1"/>
  <c r="H1366" i="1"/>
  <c r="G1366" i="1"/>
  <c r="H1451" i="1"/>
  <c r="G1451" i="1"/>
  <c r="H24" i="9"/>
  <c r="G24" i="9"/>
  <c r="D152" i="4"/>
  <c r="F153" i="4"/>
  <c r="G954" i="1"/>
  <c r="H963" i="1"/>
  <c r="H979" i="1"/>
  <c r="H995" i="1"/>
  <c r="H1021" i="1"/>
  <c r="H1037" i="1"/>
  <c r="H1053" i="1"/>
  <c r="H1069" i="1"/>
  <c r="H1079" i="1"/>
  <c r="H1107" i="1"/>
  <c r="H1123" i="1"/>
  <c r="H1139" i="1"/>
  <c r="H1151" i="1"/>
  <c r="H1157" i="1"/>
  <c r="H1165" i="1"/>
  <c r="H1185" i="1"/>
  <c r="H1193" i="1"/>
  <c r="G1246" i="1"/>
  <c r="G1260" i="1"/>
  <c r="G1276" i="1"/>
  <c r="G1292" i="1"/>
  <c r="G1308" i="1"/>
  <c r="G1324" i="1"/>
  <c r="G1340" i="1"/>
  <c r="G1389" i="1"/>
  <c r="H1389" i="1"/>
  <c r="G1403" i="1"/>
  <c r="H1403" i="1"/>
  <c r="H1406" i="1"/>
  <c r="G1406" i="1"/>
  <c r="H1483" i="1"/>
  <c r="G1483" i="1"/>
  <c r="H1509" i="1"/>
  <c r="G1509" i="1"/>
  <c r="G957" i="1"/>
  <c r="H961" i="1"/>
  <c r="G973" i="1"/>
  <c r="H977" i="1"/>
  <c r="G989" i="1"/>
  <c r="H993" i="1"/>
  <c r="G1005" i="1"/>
  <c r="H1009" i="1"/>
  <c r="G1015" i="1"/>
  <c r="H1019" i="1"/>
  <c r="G1031" i="1"/>
  <c r="H1035" i="1"/>
  <c r="G1047" i="1"/>
  <c r="H1051" i="1"/>
  <c r="G1063" i="1"/>
  <c r="H1067" i="1"/>
  <c r="H1077" i="1"/>
  <c r="G1089" i="1"/>
  <c r="G1101" i="1"/>
  <c r="H1105" i="1"/>
  <c r="G1117" i="1"/>
  <c r="H1121" i="1"/>
  <c r="G1133" i="1"/>
  <c r="H1137" i="1"/>
  <c r="G1147" i="1"/>
  <c r="H1149" i="1"/>
  <c r="H1171" i="1"/>
  <c r="G1177" i="1"/>
  <c r="H1179" i="1"/>
  <c r="H1201" i="1"/>
  <c r="H1209" i="1"/>
  <c r="G1215" i="1"/>
  <c r="H1217" i="1"/>
  <c r="H1225" i="1"/>
  <c r="G1231" i="1"/>
  <c r="H1234" i="1"/>
  <c r="G1234" i="1"/>
  <c r="H1247" i="1"/>
  <c r="G1247" i="1"/>
  <c r="H1250" i="1"/>
  <c r="G1250" i="1"/>
  <c r="H1257" i="1"/>
  <c r="G1257" i="1"/>
  <c r="H1261" i="1"/>
  <c r="G1261" i="1"/>
  <c r="H1264" i="1"/>
  <c r="G1264" i="1"/>
  <c r="H1277" i="1"/>
  <c r="G1277" i="1"/>
  <c r="H1280" i="1"/>
  <c r="G1280" i="1"/>
  <c r="H1293" i="1"/>
  <c r="G1293" i="1"/>
  <c r="H1296" i="1"/>
  <c r="G1296" i="1"/>
  <c r="H1309" i="1"/>
  <c r="G1309" i="1"/>
  <c r="H1312" i="1"/>
  <c r="G1312" i="1"/>
  <c r="H1325" i="1"/>
  <c r="G1325" i="1"/>
  <c r="H1328" i="1"/>
  <c r="G1328" i="1"/>
  <c r="H1341" i="1"/>
  <c r="G1341" i="1"/>
  <c r="H1344" i="1"/>
  <c r="G1344" i="1"/>
  <c r="G1360" i="1"/>
  <c r="G1370" i="1"/>
  <c r="H1373" i="1"/>
  <c r="G1376" i="1"/>
  <c r="H1386" i="1"/>
  <c r="G1386" i="1"/>
  <c r="H1400" i="1"/>
  <c r="G1400" i="1"/>
  <c r="H1434" i="1"/>
  <c r="G1434" i="1"/>
  <c r="G1437" i="1"/>
  <c r="H1522" i="1"/>
  <c r="J1541" i="1"/>
  <c r="H1541" i="1"/>
  <c r="G1541" i="1"/>
  <c r="J1562" i="1"/>
  <c r="H1562" i="1"/>
  <c r="G1562" i="1"/>
  <c r="G1349" i="1"/>
  <c r="H1352" i="1"/>
  <c r="G1355" i="1"/>
  <c r="H1355" i="1"/>
  <c r="H1358" i="1"/>
  <c r="G1358" i="1"/>
  <c r="H1410" i="1"/>
  <c r="H1416" i="1"/>
  <c r="G1419" i="1"/>
  <c r="H1419" i="1"/>
  <c r="H1422" i="1"/>
  <c r="G1422" i="1"/>
  <c r="H1441" i="1"/>
  <c r="G1441" i="1"/>
  <c r="H1480" i="1"/>
  <c r="H1349" i="1"/>
  <c r="G1352" i="1"/>
  <c r="H1362" i="1"/>
  <c r="H1368" i="1"/>
  <c r="G1371" i="1"/>
  <c r="H1371" i="1"/>
  <c r="H1374" i="1"/>
  <c r="G1374" i="1"/>
  <c r="G1410" i="1"/>
  <c r="H1413" i="1"/>
  <c r="H1426" i="1"/>
  <c r="H1464" i="1"/>
  <c r="H1523" i="1"/>
  <c r="G1523" i="1"/>
  <c r="H1591" i="1"/>
  <c r="G1591" i="1"/>
  <c r="F273" i="4"/>
  <c r="H1237" i="1"/>
  <c r="G1237" i="1"/>
  <c r="H1245" i="1"/>
  <c r="G1245" i="1"/>
  <c r="H1253" i="1"/>
  <c r="G1253" i="1"/>
  <c r="H1267" i="1"/>
  <c r="G1267" i="1"/>
  <c r="H1275" i="1"/>
  <c r="G1275" i="1"/>
  <c r="H1283" i="1"/>
  <c r="G1283" i="1"/>
  <c r="H1291" i="1"/>
  <c r="G1291" i="1"/>
  <c r="H1299" i="1"/>
  <c r="G1299" i="1"/>
  <c r="H1307" i="1"/>
  <c r="G1307" i="1"/>
  <c r="H1315" i="1"/>
  <c r="G1315" i="1"/>
  <c r="H1323" i="1"/>
  <c r="G1323" i="1"/>
  <c r="H1331" i="1"/>
  <c r="G1331" i="1"/>
  <c r="H1339" i="1"/>
  <c r="G1339" i="1"/>
  <c r="G1347" i="1"/>
  <c r="H1347" i="1"/>
  <c r="H1350" i="1"/>
  <c r="G1350" i="1"/>
  <c r="G1411" i="1"/>
  <c r="H1411" i="1"/>
  <c r="H1414" i="1"/>
  <c r="G1414" i="1"/>
  <c r="H1467" i="1"/>
  <c r="G1467" i="1"/>
  <c r="J1545" i="1"/>
  <c r="H1545" i="1"/>
  <c r="G1545" i="1"/>
  <c r="H1588" i="1"/>
  <c r="G1588" i="1"/>
  <c r="H1378" i="1"/>
  <c r="H1384" i="1"/>
  <c r="G1387" i="1"/>
  <c r="H1387" i="1"/>
  <c r="H1390" i="1"/>
  <c r="G1390" i="1"/>
  <c r="G1426" i="1"/>
  <c r="H1429" i="1"/>
  <c r="H1448" i="1"/>
  <c r="G1448" i="1"/>
  <c r="H1506" i="1"/>
  <c r="F91" i="4"/>
  <c r="D82" i="4"/>
  <c r="G1401" i="1"/>
  <c r="H1604" i="1"/>
  <c r="F17" i="4"/>
  <c r="D7" i="4"/>
  <c r="D125" i="4"/>
  <c r="F126" i="4"/>
  <c r="H1348" i="1"/>
  <c r="H1356" i="1"/>
  <c r="H1364" i="1"/>
  <c r="H1420" i="1"/>
  <c r="G1457" i="1"/>
  <c r="G1473" i="1"/>
  <c r="G1487" i="1"/>
  <c r="G1501" i="1"/>
  <c r="H1561" i="1"/>
  <c r="G1561" i="1"/>
  <c r="J1561" i="1"/>
  <c r="H1572" i="1"/>
  <c r="G1572" i="1"/>
  <c r="J1581" i="1"/>
  <c r="H1581" i="1"/>
  <c r="G1581" i="1"/>
  <c r="I1581" i="1" s="1"/>
  <c r="G1596" i="1"/>
  <c r="E7" i="4"/>
  <c r="D49" i="4"/>
  <c r="F50" i="4"/>
  <c r="G156" i="9"/>
  <c r="E156" i="9" s="1"/>
  <c r="B156" i="9" s="1"/>
  <c r="F607" i="4"/>
  <c r="D597" i="4"/>
  <c r="H336" i="9"/>
  <c r="E177" i="5"/>
  <c r="F252" i="5"/>
  <c r="F94" i="6"/>
  <c r="D89" i="6"/>
  <c r="C1490" i="1"/>
  <c r="F107" i="6"/>
  <c r="C1503" i="1"/>
  <c r="E22" i="7"/>
  <c r="E5" i="7" s="1"/>
  <c r="D1556" i="1"/>
  <c r="G1351" i="1"/>
  <c r="H1353" i="1"/>
  <c r="G1359" i="1"/>
  <c r="H1361" i="1"/>
  <c r="H1369" i="1"/>
  <c r="H1377" i="1"/>
  <c r="H1385" i="1"/>
  <c r="H1393" i="1"/>
  <c r="H1401" i="1"/>
  <c r="H1409" i="1"/>
  <c r="H1417" i="1"/>
  <c r="H1425" i="1"/>
  <c r="H1433" i="1"/>
  <c r="G1436" i="1"/>
  <c r="H1442" i="1"/>
  <c r="G1442" i="1"/>
  <c r="H1450" i="1"/>
  <c r="H1458" i="1"/>
  <c r="G1458" i="1"/>
  <c r="H1466" i="1"/>
  <c r="H1482" i="1"/>
  <c r="H1494" i="1"/>
  <c r="G1513" i="1"/>
  <c r="I1579" i="1"/>
  <c r="H1644" i="1"/>
  <c r="G1644" i="1"/>
  <c r="E430" i="4"/>
  <c r="D22" i="7"/>
  <c r="C1563" i="1"/>
  <c r="H1602" i="1"/>
  <c r="G1602" i="1"/>
  <c r="H1444" i="1"/>
  <c r="H1460" i="1"/>
  <c r="H1476" i="1"/>
  <c r="H1516" i="1"/>
  <c r="H1532" i="1"/>
  <c r="H1549" i="1"/>
  <c r="G1549" i="1"/>
  <c r="H1660" i="1"/>
  <c r="G1660" i="1"/>
  <c r="H1676" i="1"/>
  <c r="G1676" i="1"/>
  <c r="H156" i="9"/>
  <c r="E597" i="4"/>
  <c r="D591" i="1" s="1"/>
  <c r="H315" i="9"/>
  <c r="H316" i="9"/>
  <c r="E147" i="5"/>
  <c r="D1152" i="1" s="1"/>
  <c r="F5" i="6"/>
  <c r="H1547" i="1"/>
  <c r="G1547" i="1"/>
  <c r="J1547" i="1"/>
  <c r="I1578" i="1"/>
  <c r="H1630" i="1"/>
  <c r="G1630" i="1"/>
  <c r="D134" i="4"/>
  <c r="F135" i="4"/>
  <c r="F485" i="4"/>
  <c r="D479" i="4"/>
  <c r="H1438" i="1"/>
  <c r="H1454" i="1"/>
  <c r="H1470" i="1"/>
  <c r="H1498" i="1"/>
  <c r="H1526" i="1"/>
  <c r="I1565" i="1"/>
  <c r="H1578" i="1"/>
  <c r="G1606" i="1"/>
  <c r="H1617" i="1"/>
  <c r="H1631" i="1"/>
  <c r="G1631" i="1"/>
  <c r="G1646" i="1"/>
  <c r="H1657" i="1"/>
  <c r="H1662" i="1"/>
  <c r="G1662" i="1"/>
  <c r="H1678" i="1"/>
  <c r="G1678" i="1"/>
  <c r="F470" i="4"/>
  <c r="D466" i="4"/>
  <c r="H1468" i="1"/>
  <c r="H1484" i="1"/>
  <c r="H1496" i="1"/>
  <c r="H1524" i="1"/>
  <c r="J1548" i="1"/>
  <c r="H1548" i="1"/>
  <c r="I1548" i="1" s="1"/>
  <c r="J1575" i="1"/>
  <c r="G1575" i="1"/>
  <c r="I1575" i="1" s="1"/>
  <c r="H1607" i="1"/>
  <c r="G1607" i="1"/>
  <c r="H1639" i="1"/>
  <c r="G1639" i="1"/>
  <c r="H1647" i="1"/>
  <c r="G1647" i="1"/>
  <c r="H1663" i="1"/>
  <c r="G1663" i="1"/>
  <c r="H1679" i="1"/>
  <c r="G1679" i="1"/>
  <c r="F29" i="4"/>
  <c r="D7" i="5"/>
  <c r="D178" i="5"/>
  <c r="F186" i="5"/>
  <c r="E125" i="9"/>
  <c r="B125" i="9" s="1"/>
  <c r="H1540" i="1"/>
  <c r="G1540" i="1"/>
  <c r="J1565" i="1"/>
  <c r="H1583" i="1"/>
  <c r="G1583" i="1"/>
  <c r="H1615" i="1"/>
  <c r="G1615" i="1"/>
  <c r="H1623" i="1"/>
  <c r="G1623" i="1"/>
  <c r="H1655" i="1"/>
  <c r="G1655" i="1"/>
  <c r="D164" i="4"/>
  <c r="D536" i="4"/>
  <c r="F545" i="4"/>
  <c r="J1544" i="1"/>
  <c r="H1544" i="1"/>
  <c r="I1544" i="1" s="1"/>
  <c r="H1551" i="1"/>
  <c r="G1551" i="1"/>
  <c r="I1551" i="1" s="1"/>
  <c r="H1557" i="1"/>
  <c r="G1557" i="1"/>
  <c r="I1557" i="1" s="1"/>
  <c r="J1569" i="1"/>
  <c r="F120" i="4"/>
  <c r="D373" i="4"/>
  <c r="E536" i="4"/>
  <c r="G315" i="9"/>
  <c r="G316" i="9"/>
  <c r="D147" i="5"/>
  <c r="F171" i="5"/>
  <c r="D44" i="8"/>
  <c r="H1671" i="1"/>
  <c r="G1671" i="1"/>
  <c r="E49" i="4"/>
  <c r="D45" i="1" s="1"/>
  <c r="D140" i="4"/>
  <c r="F141" i="4"/>
  <c r="E360" i="4"/>
  <c r="D522" i="4"/>
  <c r="F523" i="4"/>
  <c r="F575" i="4"/>
  <c r="D571" i="4"/>
  <c r="H314" i="9"/>
  <c r="E88" i="5"/>
  <c r="D1093" i="1" s="1"/>
  <c r="H1536" i="1"/>
  <c r="G1536" i="1"/>
  <c r="H1543" i="1"/>
  <c r="G1543" i="1"/>
  <c r="I1543" i="1" s="1"/>
  <c r="H1564" i="1"/>
  <c r="G1564" i="1"/>
  <c r="I1564" i="1" s="1"/>
  <c r="J1574" i="1"/>
  <c r="H1574" i="1"/>
  <c r="G1574" i="1"/>
  <c r="I1574" i="1" s="1"/>
  <c r="H1599" i="1"/>
  <c r="G1599" i="1"/>
  <c r="D202" i="4"/>
  <c r="D230" i="4"/>
  <c r="F231" i="4"/>
  <c r="F13" i="5"/>
  <c r="E70" i="5"/>
  <c r="F71" i="5"/>
  <c r="F6" i="6"/>
  <c r="F122" i="6"/>
  <c r="D114" i="6"/>
  <c r="D5" i="7"/>
  <c r="H35" i="3"/>
  <c r="C1571" i="1"/>
  <c r="D45" i="8"/>
  <c r="B63" i="9"/>
  <c r="B103" i="9"/>
  <c r="B39" i="9"/>
  <c r="D35" i="6"/>
  <c r="F36" i="6"/>
  <c r="B79" i="9"/>
  <c r="G1586" i="1"/>
  <c r="G1594" i="1"/>
  <c r="G1610" i="1"/>
  <c r="G1618" i="1"/>
  <c r="G1626" i="1"/>
  <c r="G1634" i="1"/>
  <c r="G1642" i="1"/>
  <c r="G1650" i="1"/>
  <c r="G1658" i="1"/>
  <c r="G1666" i="1"/>
  <c r="G1674" i="1"/>
  <c r="G1682" i="1"/>
  <c r="D321" i="4"/>
  <c r="D629" i="4"/>
  <c r="F630" i="4"/>
  <c r="D203" i="5"/>
  <c r="F204" i="5"/>
  <c r="E321" i="4"/>
  <c r="D316" i="1" s="1"/>
  <c r="E647" i="4"/>
  <c r="D641" i="1" s="1"/>
  <c r="F431" i="4"/>
  <c r="D584" i="4"/>
  <c r="D219" i="5"/>
  <c r="B31" i="9"/>
  <c r="B60" i="9"/>
  <c r="E66" i="9"/>
  <c r="B66" i="9" s="1"/>
  <c r="F322" i="4"/>
  <c r="F135" i="5"/>
  <c r="B36" i="9"/>
  <c r="E42" i="9"/>
  <c r="B42" i="9" s="1"/>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01" i="9"/>
  <c r="B101" i="9" s="1"/>
  <c r="B108" i="9"/>
  <c r="B119" i="9"/>
  <c r="B135" i="9"/>
  <c r="E149" i="9"/>
  <c r="B149" i="9" s="1"/>
  <c r="B151" i="9"/>
  <c r="B234" i="9"/>
  <c r="F236" i="9"/>
  <c r="B236" i="9" s="1"/>
  <c r="B276" i="9"/>
  <c r="G310" i="9"/>
  <c r="B331" i="9"/>
  <c r="B241" i="9"/>
  <c r="B246" i="9"/>
  <c r="B274" i="9"/>
  <c r="F276" i="9"/>
  <c r="B281" i="9"/>
  <c r="F292" i="9"/>
  <c r="B292" i="9" s="1"/>
  <c r="D491" i="4"/>
  <c r="D430" i="4" s="1"/>
  <c r="D647" i="4"/>
  <c r="E82" i="9"/>
  <c r="B82" i="9" s="1"/>
  <c r="E93" i="9"/>
  <c r="B93" i="9" s="1"/>
  <c r="E133" i="9"/>
  <c r="B133" i="9" s="1"/>
  <c r="G177" i="9"/>
  <c r="E177" i="9" s="1"/>
  <c r="B177" i="9" s="1"/>
  <c r="B230" i="9"/>
  <c r="B258" i="9"/>
  <c r="B279" i="9"/>
  <c r="E337" i="9"/>
  <c r="B337" i="9" s="1"/>
  <c r="I10" i="9"/>
  <c r="E85" i="9"/>
  <c r="B85" i="9" s="1"/>
  <c r="B87" i="9"/>
  <c r="B111" i="9"/>
  <c r="B116" i="9"/>
  <c r="B127" i="9"/>
  <c r="F244" i="9"/>
  <c r="B244" i="9" s="1"/>
  <c r="B249" i="9"/>
  <c r="B254" i="9"/>
  <c r="F298" i="9"/>
  <c r="B323" i="9"/>
  <c r="B92" i="9"/>
  <c r="E98" i="9"/>
  <c r="B98" i="9" s="1"/>
  <c r="E109" i="9"/>
  <c r="B109" i="9" s="1"/>
  <c r="E141" i="9"/>
  <c r="B141" i="9" s="1"/>
  <c r="G179" i="9"/>
  <c r="E179" i="9" s="1"/>
  <c r="B179" i="9" s="1"/>
  <c r="B233" i="9"/>
  <c r="B247" i="9"/>
  <c r="B268" i="9"/>
  <c r="F284" i="9"/>
  <c r="B284" i="9" s="1"/>
  <c r="B289" i="9"/>
  <c r="H25" i="3" l="1"/>
  <c r="G1256" i="1"/>
  <c r="H1628" i="1"/>
  <c r="G1628" i="1"/>
  <c r="G1281" i="1"/>
  <c r="E251" i="5"/>
  <c r="F251" i="5" s="1"/>
  <c r="H1259" i="1"/>
  <c r="F255" i="5"/>
  <c r="E315" i="9"/>
  <c r="B315" i="9" s="1"/>
  <c r="E316" i="9"/>
  <c r="B316" i="9" s="1"/>
  <c r="G1140" i="1"/>
  <c r="H1140" i="1"/>
  <c r="E7" i="5"/>
  <c r="F7" i="5" s="1"/>
  <c r="F12" i="5"/>
  <c r="G1017" i="1"/>
  <c r="H1013" i="1"/>
  <c r="I1542" i="1"/>
  <c r="D1510" i="1"/>
  <c r="I30" i="3"/>
  <c r="H1681" i="1"/>
  <c r="G1681" i="1"/>
  <c r="H19" i="9"/>
  <c r="E19" i="9" s="1"/>
  <c r="B19" i="9" s="1"/>
  <c r="G343" i="9"/>
  <c r="E343" i="9" s="1"/>
  <c r="H1585" i="1"/>
  <c r="H369" i="1"/>
  <c r="G369" i="1"/>
  <c r="H642" i="1"/>
  <c r="G642" i="1"/>
  <c r="H258" i="1"/>
  <c r="G258" i="1"/>
  <c r="F262" i="4"/>
  <c r="E152" i="4"/>
  <c r="D148" i="1" s="1"/>
  <c r="E24" i="9"/>
  <c r="B24" i="9" s="1"/>
  <c r="G122" i="1"/>
  <c r="H122" i="1"/>
  <c r="H102" i="1"/>
  <c r="G102" i="1"/>
  <c r="F106" i="4"/>
  <c r="H70" i="1"/>
  <c r="G70" i="1"/>
  <c r="I33" i="3"/>
  <c r="D1538" i="1"/>
  <c r="F430" i="4"/>
  <c r="C424" i="1"/>
  <c r="F134" i="4"/>
  <c r="C130" i="1"/>
  <c r="C1485" i="1"/>
  <c r="F89" i="6"/>
  <c r="F647" i="4"/>
  <c r="C641" i="1"/>
  <c r="H1571" i="1"/>
  <c r="G1571" i="1"/>
  <c r="F522" i="4"/>
  <c r="C516" i="1"/>
  <c r="K1481" i="9"/>
  <c r="G344" i="9"/>
  <c r="E344" i="9" s="1"/>
  <c r="B344" i="9" s="1"/>
  <c r="C1621" i="1"/>
  <c r="I39" i="3"/>
  <c r="F466" i="4"/>
  <c r="C460" i="1"/>
  <c r="I1549" i="1"/>
  <c r="F49" i="4"/>
  <c r="C45" i="1"/>
  <c r="I1541" i="1"/>
  <c r="H28" i="3"/>
  <c r="F35" i="6"/>
  <c r="D141" i="6"/>
  <c r="G348" i="9" s="1"/>
  <c r="E348" i="9" s="1"/>
  <c r="C1431" i="1"/>
  <c r="H18" i="3"/>
  <c r="D299" i="4"/>
  <c r="C148" i="1"/>
  <c r="F491" i="4"/>
  <c r="C485" i="1"/>
  <c r="D1537" i="1"/>
  <c r="I31" i="3"/>
  <c r="D355" i="1"/>
  <c r="D535" i="4"/>
  <c r="D639" i="4" s="1"/>
  <c r="F536" i="4"/>
  <c r="C530" i="1"/>
  <c r="G1563" i="1"/>
  <c r="H1563" i="1"/>
  <c r="H1556" i="1"/>
  <c r="G1556" i="1"/>
  <c r="E6" i="4"/>
  <c r="D3" i="1"/>
  <c r="I1561" i="1"/>
  <c r="I1568" i="1"/>
  <c r="E535" i="4"/>
  <c r="D530" i="1"/>
  <c r="C1622" i="1"/>
  <c r="I40" i="3"/>
  <c r="E309" i="9"/>
  <c r="B309" i="9" s="1"/>
  <c r="G339" i="9"/>
  <c r="E339" i="9" s="1"/>
  <c r="B339" i="9" s="1"/>
  <c r="F219" i="5"/>
  <c r="C1223" i="1"/>
  <c r="G338" i="9"/>
  <c r="E338" i="9" s="1"/>
  <c r="B338" i="9" s="1"/>
  <c r="F203" i="5"/>
  <c r="C1207" i="1"/>
  <c r="G346" i="9"/>
  <c r="E346" i="9" s="1"/>
  <c r="H33" i="3"/>
  <c r="C1538" i="1"/>
  <c r="F230" i="4"/>
  <c r="C226" i="1"/>
  <c r="E308" i="4"/>
  <c r="E418" i="4" s="1"/>
  <c r="D413" i="1" s="1"/>
  <c r="F164" i="4"/>
  <c r="C160" i="1"/>
  <c r="G336" i="9"/>
  <c r="E336" i="9" s="1"/>
  <c r="B336" i="9" s="1"/>
  <c r="F178" i="5"/>
  <c r="D177" i="5"/>
  <c r="C1182" i="1"/>
  <c r="H34" i="3"/>
  <c r="C1555" i="1"/>
  <c r="I34" i="3"/>
  <c r="D1555" i="1"/>
  <c r="I24" i="3"/>
  <c r="D1181" i="1"/>
  <c r="G1094" i="1"/>
  <c r="H1094" i="1"/>
  <c r="D6" i="4"/>
  <c r="F7" i="4"/>
  <c r="C3" i="1"/>
  <c r="E69" i="5"/>
  <c r="D1075" i="1"/>
  <c r="F584" i="4"/>
  <c r="C578" i="1"/>
  <c r="F114" i="6"/>
  <c r="H30" i="3"/>
  <c r="C1510" i="1"/>
  <c r="F202" i="4"/>
  <c r="C198" i="1"/>
  <c r="F147" i="5"/>
  <c r="C1152" i="1"/>
  <c r="D6" i="5"/>
  <c r="H22" i="3"/>
  <c r="C1012" i="1"/>
  <c r="F479" i="4"/>
  <c r="C473" i="1"/>
  <c r="E639" i="4"/>
  <c r="D633" i="1" s="1"/>
  <c r="D424" i="1"/>
  <c r="H1503" i="1"/>
  <c r="G1503" i="1"/>
  <c r="F629" i="4"/>
  <c r="C623" i="1"/>
  <c r="F70" i="5"/>
  <c r="F140" i="4"/>
  <c r="C136" i="1"/>
  <c r="F597" i="4"/>
  <c r="C591" i="1"/>
  <c r="F82" i="4"/>
  <c r="C78" i="1"/>
  <c r="F88" i="5"/>
  <c r="D69" i="5"/>
  <c r="C1093" i="1"/>
  <c r="F373" i="4"/>
  <c r="D360" i="4"/>
  <c r="C368" i="1"/>
  <c r="E310" i="9"/>
  <c r="B310" i="9" s="1"/>
  <c r="F321" i="4"/>
  <c r="D308" i="4"/>
  <c r="C316" i="1"/>
  <c r="F571" i="4"/>
  <c r="C565" i="1"/>
  <c r="H1490" i="1"/>
  <c r="G1490" i="1"/>
  <c r="F125" i="4"/>
  <c r="C121" i="1"/>
  <c r="I1545" i="1"/>
  <c r="I1562" i="1"/>
  <c r="E314" i="9"/>
  <c r="B314" i="9" s="1"/>
  <c r="I25" i="3" l="1"/>
  <c r="D1255" i="1"/>
  <c r="H1255" i="1" s="1"/>
  <c r="E176" i="5"/>
  <c r="D1180" i="1" s="1"/>
  <c r="D1012" i="1"/>
  <c r="G1012" i="1" s="1"/>
  <c r="I22" i="3"/>
  <c r="E6" i="5"/>
  <c r="D1011" i="1" s="1"/>
  <c r="E342" i="9"/>
  <c r="B343" i="9"/>
  <c r="E299" i="4"/>
  <c r="D295" i="1" s="1"/>
  <c r="F152" i="4"/>
  <c r="I18" i="3"/>
  <c r="E347" i="9"/>
  <c r="B348" i="9"/>
  <c r="F639" i="4"/>
  <c r="C633" i="1"/>
  <c r="G473" i="1"/>
  <c r="H473" i="1"/>
  <c r="B346" i="9"/>
  <c r="E345" i="9"/>
  <c r="I10" i="3" s="1"/>
  <c r="H1621" i="1"/>
  <c r="G1621" i="1"/>
  <c r="H11" i="3"/>
  <c r="G591" i="1"/>
  <c r="H591" i="1"/>
  <c r="D423" i="4"/>
  <c r="D301" i="4"/>
  <c r="C295" i="1"/>
  <c r="G424" i="1"/>
  <c r="H424" i="1"/>
  <c r="H1510" i="1"/>
  <c r="G1510" i="1"/>
  <c r="G160" i="1"/>
  <c r="H160" i="1"/>
  <c r="G1207" i="1"/>
  <c r="H1207" i="1"/>
  <c r="H1622" i="1"/>
  <c r="G1622" i="1"/>
  <c r="G565" i="1"/>
  <c r="H565" i="1"/>
  <c r="F360" i="4"/>
  <c r="D418" i="4"/>
  <c r="C355" i="1"/>
  <c r="D300" i="4"/>
  <c r="D422" i="4"/>
  <c r="F6" i="4"/>
  <c r="H17" i="3"/>
  <c r="C2" i="1"/>
  <c r="G45" i="1"/>
  <c r="H45" i="1"/>
  <c r="H78" i="1"/>
  <c r="G78" i="1"/>
  <c r="I23" i="3"/>
  <c r="D1074" i="1"/>
  <c r="I17" i="3"/>
  <c r="E422" i="4"/>
  <c r="D2" i="1"/>
  <c r="H368" i="1"/>
  <c r="G368" i="1"/>
  <c r="G136" i="1"/>
  <c r="H136" i="1"/>
  <c r="C1011" i="1"/>
  <c r="H1555" i="1"/>
  <c r="G1555" i="1"/>
  <c r="E417" i="4"/>
  <c r="D412" i="1" s="1"/>
  <c r="D303" i="1"/>
  <c r="E640" i="4"/>
  <c r="D634" i="1" s="1"/>
  <c r="D529" i="1"/>
  <c r="G1431" i="1"/>
  <c r="H1431" i="1"/>
  <c r="G516" i="1"/>
  <c r="H516" i="1"/>
  <c r="G148" i="1"/>
  <c r="H148" i="1"/>
  <c r="F141" i="6"/>
  <c r="H31" i="3"/>
  <c r="C1537" i="1"/>
  <c r="D417" i="4"/>
  <c r="F308" i="4"/>
  <c r="C303" i="1"/>
  <c r="F69" i="5"/>
  <c r="H23" i="3"/>
  <c r="C1074" i="1"/>
  <c r="G1152" i="1"/>
  <c r="H1152" i="1"/>
  <c r="G1182" i="1"/>
  <c r="H1182" i="1"/>
  <c r="G485" i="1"/>
  <c r="H485" i="1"/>
  <c r="H460" i="1"/>
  <c r="G460" i="1"/>
  <c r="G1485" i="1"/>
  <c r="H1485" i="1"/>
  <c r="H198" i="1"/>
  <c r="G198" i="1"/>
  <c r="G3" i="1"/>
  <c r="H3" i="1"/>
  <c r="D640" i="4"/>
  <c r="F535" i="4"/>
  <c r="C529" i="1"/>
  <c r="G316" i="1"/>
  <c r="H316" i="1"/>
  <c r="G1093" i="1"/>
  <c r="H1093" i="1"/>
  <c r="G578" i="1"/>
  <c r="H578" i="1"/>
  <c r="G226" i="1"/>
  <c r="H226" i="1"/>
  <c r="G1223" i="1"/>
  <c r="H1223" i="1"/>
  <c r="H121" i="1"/>
  <c r="G121" i="1"/>
  <c r="G623" i="1"/>
  <c r="H623" i="1"/>
  <c r="H1075" i="1"/>
  <c r="G1075" i="1"/>
  <c r="D176" i="5"/>
  <c r="F177" i="5"/>
  <c r="H24" i="3"/>
  <c r="C1181" i="1"/>
  <c r="H1538" i="1"/>
  <c r="G1538" i="1"/>
  <c r="G530" i="1"/>
  <c r="H530" i="1"/>
  <c r="H130" i="1"/>
  <c r="G130" i="1"/>
  <c r="G641" i="1"/>
  <c r="H641" i="1"/>
  <c r="G1255" i="1" l="1"/>
  <c r="H299" i="9"/>
  <c r="F6" i="5"/>
  <c r="H1012" i="1"/>
  <c r="E301" i="4"/>
  <c r="D297" i="1" s="1"/>
  <c r="E300" i="4"/>
  <c r="D296" i="1" s="1"/>
  <c r="F299" i="4"/>
  <c r="E423" i="4"/>
  <c r="E425" i="4" s="1"/>
  <c r="D420" i="1" s="1"/>
  <c r="F176" i="5"/>
  <c r="C1180" i="1"/>
  <c r="H8" i="3" s="1"/>
  <c r="C296" i="1"/>
  <c r="G529" i="1"/>
  <c r="H529" i="1"/>
  <c r="G1011" i="1"/>
  <c r="H1011" i="1"/>
  <c r="G1074" i="1"/>
  <c r="H1074" i="1"/>
  <c r="G299" i="9"/>
  <c r="G1537" i="1"/>
  <c r="H1537" i="1"/>
  <c r="F640" i="4"/>
  <c r="C634" i="1"/>
  <c r="E643" i="4"/>
  <c r="D417" i="1"/>
  <c r="H2" i="1"/>
  <c r="G2" i="1"/>
  <c r="G295" i="1"/>
  <c r="H295" i="1"/>
  <c r="N3" i="9"/>
  <c r="I11" i="3"/>
  <c r="G306" i="9"/>
  <c r="E306" i="9" s="1"/>
  <c r="B306" i="9" s="1"/>
  <c r="G633" i="1"/>
  <c r="H633" i="1"/>
  <c r="G1181" i="1"/>
  <c r="H1181" i="1"/>
  <c r="G303" i="1"/>
  <c r="H303" i="1"/>
  <c r="G355" i="1"/>
  <c r="H355" i="1"/>
  <c r="F301" i="4"/>
  <c r="C297" i="1"/>
  <c r="F418" i="4"/>
  <c r="C413" i="1"/>
  <c r="D644" i="4"/>
  <c r="D425" i="4"/>
  <c r="C418" i="1"/>
  <c r="G20" i="9"/>
  <c r="F417" i="4"/>
  <c r="C412" i="1"/>
  <c r="H9" i="3"/>
  <c r="D424" i="4"/>
  <c r="D643" i="4"/>
  <c r="F422" i="4"/>
  <c r="C417" i="1"/>
  <c r="E299" i="9" l="1"/>
  <c r="B299" i="9" s="1"/>
  <c r="E644" i="4"/>
  <c r="E645" i="4" s="1"/>
  <c r="F423" i="4"/>
  <c r="H20" i="9"/>
  <c r="E20" i="9" s="1"/>
  <c r="B20" i="9" s="1"/>
  <c r="E424" i="4"/>
  <c r="D419" i="1" s="1"/>
  <c r="D418" i="1"/>
  <c r="G418" i="1" s="1"/>
  <c r="F300" i="4"/>
  <c r="M3" i="9"/>
  <c r="H297" i="1"/>
  <c r="G297" i="1"/>
  <c r="G1180" i="1"/>
  <c r="H1180" i="1"/>
  <c r="F425" i="4"/>
  <c r="C420" i="1"/>
  <c r="D645" i="4"/>
  <c r="F643" i="4"/>
  <c r="C637" i="1"/>
  <c r="K3" i="9"/>
  <c r="I9" i="3"/>
  <c r="H413" i="1"/>
  <c r="G413" i="1"/>
  <c r="H296" i="1"/>
  <c r="G296" i="1"/>
  <c r="G634" i="1"/>
  <c r="H634" i="1"/>
  <c r="G417" i="1"/>
  <c r="H417" i="1"/>
  <c r="D646" i="4"/>
  <c r="C638" i="1"/>
  <c r="C419" i="1"/>
  <c r="G412" i="1"/>
  <c r="H412" i="1"/>
  <c r="D637" i="1"/>
  <c r="D638" i="1" l="1"/>
  <c r="H638" i="1" s="1"/>
  <c r="E646" i="4"/>
  <c r="E650" i="4" s="1"/>
  <c r="F644" i="4"/>
  <c r="H418" i="1"/>
  <c r="F424" i="4"/>
  <c r="F645" i="4"/>
  <c r="D649" i="4"/>
  <c r="C639" i="1"/>
  <c r="G420" i="1"/>
  <c r="H420" i="1"/>
  <c r="D650" i="4"/>
  <c r="F646" i="4"/>
  <c r="C640" i="1"/>
  <c r="D639" i="1"/>
  <c r="G637" i="1"/>
  <c r="H637" i="1"/>
  <c r="H419" i="1"/>
  <c r="G419" i="1"/>
  <c r="H334" i="9"/>
  <c r="G334" i="9"/>
  <c r="E334" i="9" l="1"/>
  <c r="B334" i="9" s="1"/>
  <c r="G638" i="1"/>
  <c r="E649" i="4"/>
  <c r="I19" i="3" s="1"/>
  <c r="D640" i="1"/>
  <c r="G640" i="1" s="1"/>
  <c r="F650" i="4"/>
  <c r="H20" i="3"/>
  <c r="C644" i="1"/>
  <c r="H19" i="3"/>
  <c r="C643" i="1"/>
  <c r="G297" i="9"/>
  <c r="E297" i="9" s="1"/>
  <c r="B297" i="9" s="1"/>
  <c r="I20" i="3"/>
  <c r="D644" i="1"/>
  <c r="H639" i="1"/>
  <c r="G639" i="1"/>
  <c r="E298" i="9" l="1"/>
  <c r="I8" i="3" s="1"/>
  <c r="F649" i="4"/>
  <c r="D643" i="1"/>
  <c r="H643" i="1" s="1"/>
  <c r="H640" i="1"/>
  <c r="G644" i="1"/>
  <c r="H644" i="1"/>
  <c r="H7" i="3"/>
  <c r="G643" i="1" l="1"/>
  <c r="J3" i="9"/>
  <c r="G295" i="9" l="1"/>
  <c r="L293" i="9"/>
  <c r="F293" i="9" s="1"/>
  <c r="H295" i="9"/>
  <c r="J12" i="9"/>
  <c r="I12" i="9"/>
  <c r="G18" i="9"/>
  <c r="H18" i="9"/>
  <c r="J17" i="9"/>
  <c r="H17" i="9"/>
  <c r="J11" i="9"/>
  <c r="I5" i="9"/>
  <c r="K9" i="9"/>
  <c r="I13" i="9"/>
  <c r="G16" i="9"/>
  <c r="H15" i="9"/>
  <c r="I8" i="9"/>
  <c r="H16" i="9"/>
  <c r="G17" i="9"/>
  <c r="M15" i="9"/>
  <c r="J8" i="9"/>
  <c r="J13" i="9"/>
  <c r="G22" i="9"/>
  <c r="G15" i="9"/>
  <c r="K7" i="9"/>
  <c r="H22" i="9"/>
  <c r="J6" i="9"/>
  <c r="K11" i="9"/>
  <c r="K12" i="9"/>
  <c r="H21" i="9"/>
  <c r="K6" i="9"/>
  <c r="J5" i="9"/>
  <c r="J10" i="9"/>
  <c r="M16" i="9"/>
  <c r="K10" i="9"/>
  <c r="I6" i="9"/>
  <c r="I11" i="9"/>
  <c r="K5" i="9"/>
  <c r="L16" i="9"/>
  <c r="G21" i="9"/>
  <c r="K8" i="9"/>
  <c r="K13" i="9"/>
  <c r="L15" i="9"/>
  <c r="I17" i="9"/>
  <c r="I9" i="9"/>
  <c r="J9" i="9"/>
  <c r="I7" i="9"/>
  <c r="J7" i="9"/>
  <c r="E10" i="9" l="1"/>
  <c r="B10" i="9" s="1"/>
  <c r="E15" i="9"/>
  <c r="E21" i="9"/>
  <c r="B21" i="9" s="1"/>
  <c r="F16" i="9"/>
  <c r="F15" i="9"/>
  <c r="E295" i="9"/>
  <c r="B295" i="9" s="1"/>
  <c r="E22" i="9"/>
  <c r="B22" i="9" s="1"/>
  <c r="E16" i="9"/>
  <c r="E18" i="9"/>
  <c r="B18" i="9" s="1"/>
  <c r="E13" i="9"/>
  <c r="B13" i="9" s="1"/>
  <c r="E12" i="9"/>
  <c r="B12" i="9" s="1"/>
  <c r="E8" i="9"/>
  <c r="B8" i="9" s="1"/>
  <c r="E9" i="9"/>
  <c r="B9" i="9" s="1"/>
  <c r="E11" i="9"/>
  <c r="B11" i="9" s="1"/>
  <c r="E7" i="9"/>
  <c r="B7" i="9" s="1"/>
  <c r="E6" i="9"/>
  <c r="B6" i="9" s="1"/>
  <c r="E5" i="9"/>
  <c r="E17" i="9"/>
  <c r="B17" i="9" s="1"/>
  <c r="B293" i="9"/>
  <c r="F23" i="9"/>
  <c r="E23" i="9" l="1"/>
  <c r="I7" i="3" s="1"/>
  <c r="B15" i="9"/>
  <c r="F14" i="9"/>
  <c r="F3" i="9" s="1"/>
  <c r="B16" i="9"/>
  <c r="E14" i="9"/>
  <c r="I13" i="3" s="1"/>
  <c r="B5" i="9"/>
  <c r="E4" i="9"/>
  <c r="E3" i="9" l="1"/>
</calcChain>
</file>

<file path=xl/sharedStrings.xml><?xml version="1.0" encoding="utf-8"?>
<sst xmlns="http://schemas.openxmlformats.org/spreadsheetml/2006/main" count="4733" uniqueCount="3656">
  <si>
    <t>Obveznik:</t>
  </si>
  <si>
    <t>27062 - OPĆINA GRADEC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</si>
  <si>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</si>
  <si>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</si>
  <si>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</si>
  <si>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</si>
  <si>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</si>
  <si>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</si>
  <si>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</si>
  <si>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</si>
  <si>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</si>
  <si>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</si>
  <si>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</si>
  <si>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</si>
  <si>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</si>
  <si>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</si>
  <si>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</si>
  <si>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</si>
  <si>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</si>
  <si>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</si>
  <si>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</si>
  <si>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</si>
  <si>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</si>
  <si>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</si>
  <si>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</si>
  <si>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</si>
  <si>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</si>
  <si>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</si>
  <si>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</si>
  <si>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</si>
  <si>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</si>
  <si>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</si>
  <si>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</si>
  <si>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</si>
  <si>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</si>
  <si>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</si>
  <si>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</si>
  <si>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</si>
  <si>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</si>
  <si>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</si>
  <si>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</si>
  <si>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</si>
  <si>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</si>
  <si>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</si>
  <si>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</si>
  <si>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</si>
  <si>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</si>
  <si>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</si>
  <si>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</si>
  <si>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</si>
  <si>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</si>
  <si>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</si>
  <si>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</si>
  <si>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</si>
  <si>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</si>
  <si>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</si>
  <si>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</si>
  <si>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</si>
  <si>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</si>
  <si>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</si>
  <si>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</si>
  <si>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</si>
  <si>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</si>
  <si>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</si>
  <si>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</si>
  <si>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</si>
  <si>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</si>
  <si>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</si>
  <si>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</si>
  <si>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</si>
  <si>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</si>
  <si>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</si>
  <si>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</si>
  <si>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</si>
  <si>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</si>
  <si>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</si>
  <si>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</si>
  <si>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</si>
  <si>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</si>
  <si>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</si>
  <si>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</si>
  <si>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</si>
  <si>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</si>
  <si>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</si>
  <si>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</si>
  <si>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</si>
  <si>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</si>
  <si>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</si>
  <si>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</si>
  <si>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</si>
  <si>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</si>
  <si>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</si>
  <si>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</si>
  <si>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</si>
  <si>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</si>
  <si>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</si>
  <si>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</si>
  <si>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</si>
  <si>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</si>
  <si>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</si>
  <si>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</si>
  <si>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</si>
  <si>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</si>
  <si>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</si>
  <si>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</si>
  <si>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</si>
  <si>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</si>
  <si>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</si>
  <si>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</si>
  <si>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</si>
  <si>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</si>
  <si>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</si>
  <si>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</si>
  <si>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</si>
  <si>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</si>
  <si>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</si>
  <si>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</si>
  <si>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</si>
  <si>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</si>
  <si>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</si>
  <si>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</si>
  <si>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</si>
  <si>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</si>
  <si>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</si>
  <si>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</si>
  <si>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</si>
  <si>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</si>
  <si>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</si>
  <si>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</si>
  <si>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</si>
  <si>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</si>
  <si>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</si>
  <si>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</si>
  <si>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</si>
  <si>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</si>
  <si>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</si>
  <si>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</si>
  <si>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</si>
  <si>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</si>
  <si>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</si>
  <si>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</si>
  <si>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</si>
  <si>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</si>
  <si>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</si>
  <si>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</si>
  <si>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</si>
  <si>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</si>
  <si>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</si>
  <si>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</si>
  <si>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</si>
  <si>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</si>
  <si>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</si>
  <si>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</si>
  <si>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</si>
  <si>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</si>
  <si>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</si>
  <si>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</si>
  <si>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</si>
  <si>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</si>
  <si>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</si>
  <si>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</si>
  <si>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</si>
  <si>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</si>
  <si>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</si>
  <si>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</si>
  <si>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</si>
  <si>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</si>
  <si>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</si>
  <si>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</si>
  <si>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</si>
  <si>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</si>
  <si>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</si>
  <si>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</si>
  <si>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</si>
  <si>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</si>
  <si>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</si>
  <si>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</si>
  <si>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</si>
  <si>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</si>
  <si>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</si>
  <si>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</si>
  <si>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</si>
  <si>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</si>
  <si>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</si>
  <si>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</si>
  <si>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</si>
  <si>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</si>
  <si>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</si>
  <si>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</si>
  <si>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</si>
  <si>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</si>
  <si>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</si>
  <si>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</si>
  <si>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</si>
  <si>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</si>
  <si>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</si>
  <si>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</si>
  <si>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</si>
  <si>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</si>
  <si>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</si>
  <si>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</si>
  <si>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</si>
  <si>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</si>
  <si>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</si>
  <si>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</si>
  <si>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</si>
  <si>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</si>
  <si>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</si>
  <si>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</si>
  <si>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</si>
  <si>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</si>
  <si>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</si>
  <si>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</si>
  <si>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</si>
  <si>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</si>
  <si>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</si>
  <si>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</si>
  <si>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</si>
  <si>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</si>
  <si>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</si>
  <si>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</si>
  <si>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</si>
  <si>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</si>
  <si>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</si>
  <si>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</si>
  <si>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</si>
  <si>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</si>
  <si>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</si>
  <si>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</si>
  <si>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</si>
  <si>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</si>
  <si>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</si>
  <si>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</si>
  <si>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</si>
  <si>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</si>
  <si>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</si>
  <si>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</si>
  <si>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</si>
  <si>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</si>
  <si>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</si>
  <si>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</si>
  <si>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</si>
  <si>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</si>
  <si>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</si>
  <si>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</si>
  <si>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</si>
  <si>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</si>
  <si>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</si>
  <si>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</si>
  <si>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</si>
  <si>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</si>
  <si>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</si>
  <si>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</si>
  <si>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</si>
  <si>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</si>
  <si>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</si>
  <si>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</si>
  <si>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</si>
  <si>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</si>
  <si>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</si>
  <si>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</si>
  <si>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</si>
  <si>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</si>
  <si>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</si>
  <si>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</si>
  <si>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</si>
  <si>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</si>
  <si>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</si>
  <si>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</si>
  <si>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</si>
  <si>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</si>
  <si>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</si>
  <si>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</si>
  <si>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</si>
  <si>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</si>
  <si>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</si>
  <si>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</si>
  <si>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</si>
  <si>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</si>
  <si>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</si>
  <si>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</si>
  <si>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</si>
  <si>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</si>
  <si>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</si>
  <si>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</si>
  <si>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</si>
  <si>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</si>
  <si>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</si>
  <si>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</si>
  <si>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</si>
  <si>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</si>
  <si>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</si>
  <si>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</si>
  <si>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</si>
  <si>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</si>
  <si>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</si>
  <si>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</si>
  <si>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</si>
  <si>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</si>
  <si>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</si>
  <si>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</si>
  <si>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</si>
  <si>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</si>
  <si>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</si>
  <si>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</si>
  <si>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</si>
  <si>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</si>
  <si>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</si>
  <si>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</si>
  <si>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</si>
  <si>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</si>
  <si>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</si>
  <si>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</si>
  <si>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</si>
  <si>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</si>
  <si>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</si>
  <si>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</si>
  <si>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</si>
  <si>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</si>
  <si>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</si>
  <si>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</si>
  <si>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</si>
  <si>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</si>
  <si>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</si>
  <si>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</si>
  <si>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</si>
  <si>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</si>
  <si>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</si>
  <si>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</si>
  <si>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</si>
  <si>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</si>
  <si>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</si>
  <si>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</si>
  <si>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</si>
  <si>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</si>
  <si>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</si>
  <si>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</si>
  <si>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</si>
  <si>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</si>
  <si>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</si>
  <si>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</si>
  <si>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</si>
  <si>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</si>
  <si>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</si>
  <si>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</si>
  <si>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</si>
  <si>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</si>
  <si>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</si>
  <si>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</si>
  <si>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</si>
  <si>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</si>
  <si>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</si>
  <si>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</si>
  <si>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</si>
  <si>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</si>
  <si>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</si>
  <si>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</si>
  <si>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</si>
  <si>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</si>
  <si>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</si>
  <si>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</si>
  <si>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</si>
  <si>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</si>
  <si>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</si>
  <si>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</si>
  <si>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</si>
  <si>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</si>
  <si>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</si>
  <si>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</si>
  <si>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</si>
  <si>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</si>
  <si>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</si>
  <si>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</si>
  <si>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</si>
  <si>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</si>
  <si>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</si>
  <si>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</si>
  <si>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</si>
  <si>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</si>
  <si>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</si>
  <si>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</si>
  <si>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</si>
  <si>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</si>
  <si>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</si>
  <si>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</si>
  <si>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</si>
  <si>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</si>
  <si>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</si>
  <si>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</si>
  <si>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</si>
  <si>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</si>
  <si>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</si>
  <si>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</si>
  <si>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</si>
  <si>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</si>
  <si>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</si>
  <si>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</si>
  <si>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</si>
  <si>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</si>
  <si>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</si>
  <si>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</si>
  <si>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</si>
  <si>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</si>
  <si>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</si>
  <si>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</si>
  <si>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</si>
  <si>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</si>
  <si>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</si>
  <si>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</si>
  <si>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</si>
  <si>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</si>
  <si>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</si>
  <si>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</si>
  <si>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</si>
  <si>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</si>
  <si>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</si>
  <si>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</si>
  <si>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</si>
  <si>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</si>
  <si>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</si>
  <si>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</si>
  <si>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</si>
  <si>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</si>
  <si>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</si>
  <si>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</si>
  <si>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</si>
  <si>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</si>
  <si>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</si>
  <si>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</si>
  <si>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</si>
  <si>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</si>
  <si>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</si>
  <si>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</si>
  <si>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</si>
  <si>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</si>
  <si>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</si>
  <si>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</si>
  <si>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</si>
  <si>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</si>
  <si>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</si>
  <si>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</si>
  <si>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</si>
  <si>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</si>
  <si>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</si>
  <si>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</si>
  <si>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</si>
  <si>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</si>
  <si>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</si>
  <si>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</si>
  <si>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</si>
  <si>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</si>
  <si>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</si>
  <si>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</si>
  <si>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</si>
  <si>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</si>
  <si>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</si>
  <si>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</si>
  <si>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</si>
  <si>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</si>
  <si>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</si>
  <si>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</si>
  <si>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</si>
  <si>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</si>
  <si>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</si>
  <si>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</si>
  <si>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</si>
  <si>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</si>
  <si>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</si>
  <si>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</si>
  <si>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</si>
  <si>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</si>
  <si>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</si>
  <si>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</si>
  <si>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</si>
  <si>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</si>
  <si>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</si>
  <si>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</si>
  <si>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</si>
  <si>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</si>
  <si>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</si>
  <si>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</si>
  <si>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</si>
  <si>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</si>
  <si>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</si>
  <si>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</si>
  <si>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</si>
  <si>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</si>
  <si>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</si>
  <si>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</si>
  <si>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</si>
  <si>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</si>
  <si>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</si>
  <si>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</si>
  <si>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</si>
  <si>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</si>
  <si>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</si>
  <si>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</si>
  <si>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</si>
  <si>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</si>
  <si>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</si>
  <si>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</si>
  <si>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</si>
  <si>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</si>
  <si>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</si>
  <si>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</si>
  <si>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</si>
  <si>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</si>
  <si>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</si>
  <si>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</si>
  <si>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</si>
  <si>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</si>
  <si>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</si>
  <si>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</si>
  <si>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</si>
  <si>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</si>
  <si>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</si>
  <si>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</si>
  <si>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</si>
  <si>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</si>
  <si>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</si>
  <si>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</si>
  <si>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</si>
  <si>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</si>
  <si>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</si>
  <si>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</si>
  <si>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</si>
  <si>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</si>
  <si>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</si>
  <si>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</si>
  <si>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</si>
  <si>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</si>
  <si>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</si>
  <si>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</si>
  <si>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</si>
  <si>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</si>
  <si>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</si>
  <si>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</si>
  <si>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</si>
  <si>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</si>
  <si>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</si>
  <si>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</si>
  <si>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</si>
  <si>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</si>
  <si>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</si>
  <si>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</si>
  <si>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</si>
  <si>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</si>
  <si>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</si>
  <si>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</si>
  <si>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</si>
  <si>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</si>
  <si>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</si>
  <si>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</si>
  <si>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</si>
  <si>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</si>
  <si>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</si>
  <si>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</si>
  <si>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</si>
  <si>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</si>
  <si>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</si>
  <si>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</si>
  <si>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</si>
  <si>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</si>
  <si>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</si>
  <si>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</si>
  <si>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</si>
  <si>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</si>
  <si>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</si>
  <si>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</si>
  <si>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</si>
  <si>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</si>
  <si>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</si>
  <si>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</si>
  <si>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</si>
  <si>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</si>
  <si>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</si>
  <si>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</si>
  <si>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</si>
  <si>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</si>
  <si>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</si>
  <si>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</si>
  <si>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</si>
  <si>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</si>
  <si>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</si>
  <si>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</si>
  <si>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</si>
  <si>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</si>
  <si>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</si>
  <si>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</si>
  <si>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</si>
  <si>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</si>
  <si>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</si>
  <si>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</si>
  <si>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</si>
  <si>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</si>
  <si>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</si>
  <si>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</si>
  <si>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</si>
  <si>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</si>
  <si>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</si>
  <si>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</si>
  <si>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</si>
  <si>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</si>
  <si>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</si>
  <si>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</si>
  <si>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</si>
  <si>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</si>
  <si>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</si>
  <si>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</si>
  <si>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</si>
  <si>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</si>
  <si>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</si>
  <si>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</si>
  <si>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</si>
  <si>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</si>
  <si>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</si>
  <si>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</si>
  <si>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</si>
  <si>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</si>
  <si>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</si>
  <si>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</si>
  <si>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</si>
  <si>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</si>
  <si>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</si>
  <si>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</si>
  <si>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</si>
  <si>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</si>
  <si>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</si>
  <si>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</si>
  <si>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</si>
  <si>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</si>
  <si>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</si>
  <si>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</si>
  <si>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</si>
  <si>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</si>
  <si>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</si>
  <si>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</si>
  <si>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</si>
  <si>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</si>
  <si>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</si>
  <si>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</si>
  <si>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</si>
  <si>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</si>
  <si>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</si>
  <si>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</si>
  <si>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</si>
  <si>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</si>
  <si>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</si>
  <si>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</si>
  <si>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</si>
  <si>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</si>
  <si>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</si>
  <si>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</si>
  <si>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</si>
  <si>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</si>
  <si>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</si>
  <si>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</si>
  <si>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</si>
  <si>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</si>
  <si>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</si>
  <si>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</si>
  <si>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</si>
  <si>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</si>
  <si>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</si>
  <si>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</si>
  <si>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</si>
  <si>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</si>
  <si>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</si>
  <si>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</si>
  <si>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</si>
  <si>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</si>
  <si>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</si>
  <si>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</si>
  <si>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</si>
  <si>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</si>
  <si>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</si>
  <si>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</si>
  <si>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</si>
  <si>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</si>
  <si>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</si>
  <si>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</si>
  <si>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</si>
  <si>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</si>
  <si>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</si>
  <si>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</si>
  <si>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</si>
  <si>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</si>
  <si>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</si>
  <si>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</si>
  <si>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</si>
  <si>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</si>
  <si>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</si>
  <si>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</si>
  <si>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</si>
  <si>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</si>
  <si>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</si>
  <si>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</si>
  <si>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</si>
  <si>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</si>
  <si>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</si>
  <si>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</si>
  <si>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</si>
  <si>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</si>
  <si>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</si>
  <si>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</si>
  <si>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</si>
  <si>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</si>
  <si>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</si>
  <si>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</si>
  <si>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</si>
  <si>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</si>
  <si>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</si>
  <si>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</si>
  <si>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</si>
  <si>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</si>
  <si>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</si>
  <si>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</si>
  <si>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</si>
  <si>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</si>
  <si>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</si>
  <si>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</si>
  <si>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</si>
  <si>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</si>
  <si>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</si>
  <si>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</si>
  <si>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</si>
  <si>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</si>
  <si>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</si>
  <si>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</si>
  <si>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</si>
  <si>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</si>
  <si>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</si>
  <si>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</si>
  <si>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</si>
  <si>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</si>
  <si>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</si>
  <si>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</si>
  <si>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</si>
  <si>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</si>
  <si>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</si>
  <si>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</si>
  <si>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</si>
  <si>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</si>
  <si>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</si>
  <si>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</si>
  <si>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</si>
  <si>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</si>
  <si>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</si>
  <si>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</si>
  <si>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</si>
  <si>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</si>
  <si>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</si>
  <si>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</si>
  <si>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</si>
  <si>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</si>
  <si>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</si>
  <si>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</si>
  <si>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</si>
  <si>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</si>
  <si>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</si>
  <si>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</si>
  <si>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</si>
  <si>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</si>
  <si>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</si>
  <si>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</si>
  <si>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</si>
  <si>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</si>
  <si>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</si>
  <si>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</si>
  <si>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</si>
  <si>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</si>
  <si>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</si>
  <si>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</si>
  <si>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</si>
  <si>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</si>
  <si>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</si>
  <si>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</si>
  <si>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</si>
  <si>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</si>
  <si>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</si>
  <si>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</si>
  <si>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</si>
  <si>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</si>
  <si>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</si>
  <si>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</si>
  <si>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</si>
  <si>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</si>
  <si>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</si>
  <si>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</si>
  <si>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</si>
  <si>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</si>
  <si>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</si>
  <si>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</si>
  <si>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</si>
  <si>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</si>
  <si>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</si>
  <si>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</si>
  <si>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</si>
  <si>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</si>
  <si>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</si>
  <si>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</si>
  <si>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</si>
  <si>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</si>
  <si>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</si>
  <si>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</si>
  <si>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</si>
  <si>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</si>
  <si>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</si>
  <si>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</si>
  <si>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</si>
  <si>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</si>
  <si>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</si>
  <si>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</si>
  <si>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</si>
  <si>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</si>
  <si>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</si>
  <si>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</si>
  <si>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</si>
  <si>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</si>
  <si>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</si>
  <si>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</si>
  <si>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</si>
  <si>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</si>
  <si>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</si>
  <si>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</si>
  <si>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</si>
  <si>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</si>
  <si>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</si>
  <si>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</si>
  <si>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</si>
  <si>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</si>
  <si>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</si>
  <si>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</si>
  <si>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</si>
  <si>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</si>
  <si>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</si>
  <si>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</si>
  <si>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</si>
  <si>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</si>
  <si>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</si>
  <si>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</si>
  <si>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</si>
  <si>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</si>
  <si>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</si>
  <si>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</si>
  <si>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</si>
  <si>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</si>
  <si>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</si>
  <si>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</si>
  <si>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</si>
  <si>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</si>
  <si>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</si>
  <si>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</si>
  <si>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</si>
  <si>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</si>
  <si>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</si>
  <si>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</si>
  <si>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</si>
  <si>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</si>
  <si>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</si>
  <si>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</si>
  <si>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</si>
  <si>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</si>
  <si>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</si>
  <si>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</si>
  <si>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</si>
  <si>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</si>
  <si>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</si>
  <si>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</si>
  <si>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</si>
  <si>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</si>
  <si>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</si>
  <si>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</si>
  <si>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</si>
  <si>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</si>
  <si>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</si>
  <si>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</si>
  <si>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</si>
  <si>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</si>
  <si>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</si>
  <si>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</si>
  <si>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</si>
  <si>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</si>
  <si>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</si>
  <si>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</si>
  <si>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</si>
  <si>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</si>
  <si>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</si>
  <si>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</si>
  <si>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</si>
  <si>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</si>
  <si>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</si>
  <si>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</si>
  <si>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</si>
  <si>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</si>
  <si>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</si>
  <si>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</si>
  <si>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</si>
  <si>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</si>
  <si>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</si>
  <si>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</si>
  <si>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</si>
  <si>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</si>
  <si>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</si>
  <si>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</si>
  <si>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</si>
  <si>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</si>
  <si>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</si>
  <si>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</si>
  <si>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</si>
  <si>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</si>
  <si>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</si>
  <si>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</si>
  <si>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</si>
  <si>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</si>
  <si>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</si>
  <si>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</si>
  <si>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</si>
  <si>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</si>
  <si>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</si>
  <si>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</si>
  <si>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</si>
  <si>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</si>
  <si>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</si>
  <si>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</si>
  <si>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</si>
  <si>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</si>
  <si>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</si>
  <si>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</si>
  <si>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</si>
  <si>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</si>
  <si>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</si>
  <si>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</si>
  <si>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</si>
  <si>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</si>
  <si>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</si>
  <si>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</si>
  <si>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</si>
  <si>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</si>
  <si>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</si>
  <si>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</si>
  <si>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</si>
  <si>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</si>
  <si>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</si>
  <si>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</si>
  <si>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</si>
  <si>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</si>
  <si>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</si>
  <si>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</si>
  <si>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</si>
  <si>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</si>
  <si>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</si>
  <si>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</si>
  <si>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</si>
  <si>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</si>
  <si>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</si>
  <si>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</si>
  <si>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</si>
  <si>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</si>
  <si>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</si>
  <si>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</si>
  <si>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</si>
  <si>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</si>
  <si>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</si>
  <si>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</si>
  <si>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</si>
  <si>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</si>
  <si>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</si>
  <si>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</si>
  <si>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</si>
  <si>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</si>
  <si>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</si>
  <si>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</si>
  <si>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</si>
  <si>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</si>
  <si>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</si>
  <si>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</si>
  <si>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</si>
  <si>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</si>
  <si>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</si>
  <si>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</si>
  <si>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</si>
  <si>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</si>
  <si>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</si>
  <si>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</si>
  <si>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</si>
  <si>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</si>
  <si>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</si>
  <si>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</si>
  <si>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</si>
  <si>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</si>
  <si>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</si>
  <si>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</si>
  <si>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</si>
  <si>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</si>
  <si>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</si>
  <si>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</si>
  <si>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</si>
  <si>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</si>
  <si>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</si>
  <si>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</si>
  <si>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</si>
  <si>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</si>
  <si>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</si>
  <si>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</si>
  <si>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</si>
  <si>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</si>
  <si>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</si>
  <si>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</si>
  <si>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</si>
  <si>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</si>
  <si>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</si>
  <si>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</si>
  <si>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</si>
  <si>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</si>
  <si>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</si>
  <si>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</si>
  <si>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</si>
  <si>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</si>
  <si>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</si>
  <si>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</si>
  <si>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</si>
  <si>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</si>
  <si>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</si>
  <si>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</si>
  <si>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</si>
  <si>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</si>
  <si>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</si>
  <si>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</si>
  <si>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</si>
  <si>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</si>
  <si>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</si>
  <si>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</si>
  <si>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</si>
  <si>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</si>
  <si>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</si>
  <si>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</si>
  <si>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</si>
  <si>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</si>
  <si>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</si>
  <si>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</si>
  <si>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</si>
  <si>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</si>
  <si>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</si>
  <si>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</si>
  <si>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</si>
  <si>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</si>
  <si>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</si>
  <si>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</si>
  <si>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</si>
  <si>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</si>
  <si>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</si>
  <si>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</si>
  <si>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</si>
  <si>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</si>
  <si>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</si>
  <si>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</si>
  <si>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</si>
  <si>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</si>
  <si>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</si>
  <si>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</si>
  <si>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</si>
  <si>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</si>
  <si>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</si>
  <si>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</si>
  <si>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</si>
  <si>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</si>
  <si>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</si>
  <si>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</si>
  <si>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</si>
  <si>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</si>
  <si>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</si>
  <si>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</si>
  <si>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</si>
  <si>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</si>
  <si>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</si>
  <si>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</si>
  <si>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</si>
  <si>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</si>
  <si>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</si>
  <si>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</si>
  <si>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</si>
  <si>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</si>
  <si>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</si>
  <si>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</si>
  <si>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</si>
  <si>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</si>
  <si>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</si>
  <si>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</si>
  <si>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</si>
  <si>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</si>
  <si>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</si>
  <si>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</si>
  <si>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</si>
  <si>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</si>
  <si>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</si>
  <si>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</si>
  <si>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</si>
  <si>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</si>
  <si>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</si>
  <si>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</si>
  <si>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</si>
  <si>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</si>
  <si>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</si>
  <si>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</si>
  <si>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</si>
  <si>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</si>
  <si>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</si>
  <si>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</si>
  <si>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</si>
  <si>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</si>
  <si>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</si>
  <si>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</si>
  <si>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</si>
  <si>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</si>
  <si>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</si>
  <si>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</si>
  <si>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</si>
  <si>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</si>
  <si>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</si>
  <si>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</si>
  <si>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</si>
  <si>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</si>
  <si>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</si>
  <si>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</si>
  <si>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</si>
  <si>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</si>
  <si>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</si>
  <si>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</si>
  <si>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</si>
  <si>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</si>
  <si>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</si>
  <si>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</si>
  <si>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</si>
  <si>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</si>
  <si>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</si>
  <si>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</si>
  <si>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</si>
  <si>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</si>
  <si>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</si>
  <si>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</si>
  <si>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</si>
  <si>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</si>
  <si>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</si>
  <si>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</si>
  <si>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</si>
  <si>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</si>
  <si>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</si>
  <si>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</si>
  <si>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</si>
  <si>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</si>
  <si>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</si>
  <si>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</si>
  <si>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</si>
  <si>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</si>
  <si>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</si>
  <si>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</si>
  <si>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</si>
  <si>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</si>
  <si>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</si>
  <si>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</si>
  <si>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</si>
  <si>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</si>
  <si>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</si>
  <si>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</si>
  <si>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</si>
  <si>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</si>
  <si>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</si>
  <si>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</si>
  <si>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</si>
  <si>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</si>
  <si>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</si>
  <si>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</si>
  <si>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</si>
  <si>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</si>
  <si>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</si>
  <si>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</si>
  <si>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</si>
  <si>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</si>
  <si>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</si>
  <si>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</si>
  <si>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</si>
  <si>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</si>
  <si>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</si>
  <si>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</si>
  <si>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</si>
  <si>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</si>
  <si>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</si>
  <si>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</si>
  <si>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</si>
  <si>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</si>
  <si>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</si>
  <si>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</si>
  <si>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</si>
  <si>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</si>
  <si>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</si>
  <si>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</si>
  <si>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</si>
  <si>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</si>
  <si>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</si>
  <si>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</si>
  <si>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</si>
  <si>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</si>
  <si>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</si>
  <si>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</si>
  <si>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</si>
  <si>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</si>
  <si>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</si>
  <si>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</si>
  <si>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</si>
  <si>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</si>
  <si>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</si>
  <si>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</si>
  <si>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</si>
  <si>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</si>
  <si>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</si>
  <si>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</si>
  <si>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</si>
  <si>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</si>
  <si>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</si>
  <si>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</si>
  <si>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</si>
  <si>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</si>
  <si>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</si>
  <si>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</si>
  <si>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</si>
  <si>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</si>
  <si>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</si>
  <si>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</si>
  <si>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</si>
  <si>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</si>
  <si>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</si>
  <si>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</si>
  <si>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</si>
  <si>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</si>
  <si>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</si>
  <si>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</si>
  <si>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</si>
  <si>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</si>
  <si>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</si>
  <si>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</si>
  <si>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</si>
  <si>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</si>
  <si>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</si>
  <si>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</si>
  <si>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</si>
  <si>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</si>
  <si>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</si>
  <si>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</si>
  <si>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</si>
  <si>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</si>
  <si>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</si>
  <si>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</si>
  <si>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</si>
  <si>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</si>
  <si>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</si>
  <si>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</si>
  <si>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</si>
  <si>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</si>
  <si>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</si>
  <si>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</si>
  <si>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</si>
  <si>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</si>
  <si>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</si>
  <si>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</si>
  <si>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</si>
  <si>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</si>
  <si>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</si>
  <si>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</si>
  <si>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</si>
  <si>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</si>
  <si>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</si>
  <si>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</si>
  <si>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</si>
  <si>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</si>
  <si>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</si>
  <si>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</si>
  <si>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</si>
  <si>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</si>
  <si>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</si>
  <si>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</si>
  <si>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</si>
  <si>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</si>
  <si>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</si>
  <si>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</si>
  <si>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</si>
  <si>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</si>
  <si>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</si>
  <si>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</si>
  <si>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</si>
  <si>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</si>
  <si>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</si>
  <si>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</si>
  <si>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</si>
  <si>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</si>
  <si>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</si>
  <si>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</si>
  <si>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</si>
  <si>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</si>
  <si>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</si>
  <si>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</si>
  <si>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</si>
  <si>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</si>
  <si>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</si>
  <si>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</si>
  <si>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</si>
  <si>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</si>
  <si>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</si>
  <si>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</si>
  <si>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</si>
  <si>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</si>
  <si>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</si>
  <si>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</si>
  <si>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</si>
  <si>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</si>
  <si>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</si>
  <si>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</si>
  <si>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</si>
  <si>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</si>
  <si>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</si>
  <si>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</si>
  <si>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</si>
  <si>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</si>
  <si>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</si>
  <si>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</si>
  <si>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</si>
  <si>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</si>
  <si>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</si>
  <si>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</si>
  <si>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</si>
  <si>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</si>
  <si>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</si>
  <si>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</si>
  <si>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</si>
  <si>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</si>
  <si>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</si>
  <si>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</si>
  <si>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</si>
  <si>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</si>
  <si>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</si>
  <si>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</si>
  <si>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</si>
  <si>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</si>
  <si>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</si>
  <si>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</si>
  <si>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</si>
  <si>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</si>
  <si>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</si>
  <si>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</si>
  <si>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</si>
  <si>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</si>
  <si>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</si>
  <si>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</si>
  <si>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</si>
  <si>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</si>
  <si>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</si>
  <si>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</si>
  <si>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</si>
  <si>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</si>
  <si>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</si>
  <si>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</si>
  <si>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</si>
  <si>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</si>
  <si>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</si>
  <si>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</si>
  <si>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</si>
  <si>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</si>
  <si>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</si>
  <si>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</si>
  <si>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</si>
  <si>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</si>
  <si>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</si>
  <si>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</si>
  <si>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</si>
  <si>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</si>
  <si>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</si>
  <si>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</si>
  <si>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</si>
  <si>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</si>
  <si>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</si>
  <si>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</si>
  <si>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</si>
  <si>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</si>
  <si>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</si>
  <si>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</si>
  <si>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</si>
  <si>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</si>
  <si>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</si>
  <si>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</si>
  <si>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</si>
  <si>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</si>
  <si>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</si>
  <si>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</si>
  <si>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</si>
  <si>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</si>
  <si>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</si>
  <si>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</si>
  <si>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</si>
  <si>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</si>
  <si>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</si>
  <si>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</si>
  <si>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</si>
  <si>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</si>
  <si>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</si>
  <si>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</si>
  <si>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</si>
  <si>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</si>
  <si>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</si>
  <si>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</si>
  <si>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</si>
  <si>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</si>
  <si>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</si>
  <si>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</si>
  <si>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</si>
  <si>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</si>
  <si>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</si>
  <si>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</si>
  <si>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</si>
  <si>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</si>
  <si>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</si>
  <si>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</si>
  <si>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</si>
  <si>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</si>
  <si>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</si>
  <si>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</si>
  <si>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</si>
  <si>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</si>
  <si>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</si>
  <si>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</si>
  <si>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</si>
  <si>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</si>
  <si>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</si>
  <si>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</si>
  <si>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</si>
  <si>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</si>
  <si>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</si>
  <si>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</si>
  <si>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</si>
  <si>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</si>
  <si>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</si>
  <si>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</si>
  <si>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</si>
  <si>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</si>
  <si>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</si>
  <si>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</si>
  <si>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</si>
  <si>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</si>
  <si>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</si>
  <si>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</si>
  <si>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</si>
  <si>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</si>
  <si>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</si>
  <si>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</si>
  <si>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</si>
  <si>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</si>
  <si>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</si>
  <si>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</si>
  <si>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</si>
  <si>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</si>
  <si>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</si>
  <si>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</si>
  <si>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</si>
  <si>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</si>
  <si>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</si>
  <si>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</si>
  <si>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</si>
  <si>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</si>
  <si>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</si>
  <si>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</si>
  <si>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</si>
  <si>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</si>
  <si>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</si>
  <si>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</si>
  <si>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</si>
  <si>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</si>
  <si>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</si>
  <si>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</si>
  <si>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</si>
  <si>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</si>
  <si>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</si>
  <si>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</si>
  <si>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</si>
  <si>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</si>
  <si>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</si>
  <si>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</si>
  <si>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</si>
  <si>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</si>
  <si>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</si>
  <si>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</si>
  <si>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</si>
  <si>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</si>
  <si>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</si>
  <si>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</si>
  <si>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</si>
  <si>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</si>
  <si>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</si>
  <si>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</si>
  <si>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</si>
  <si>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</si>
  <si>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</si>
  <si>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</si>
  <si>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</si>
  <si>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</si>
  <si>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</si>
  <si>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</si>
  <si>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</si>
  <si>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</si>
  <si>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</si>
  <si>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</si>
  <si>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</si>
  <si>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</si>
  <si>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</si>
  <si>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</si>
  <si>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</si>
  <si>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</si>
  <si>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</si>
  <si>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</si>
  <si>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</si>
  <si>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</si>
  <si>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</si>
  <si>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</si>
  <si>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</si>
  <si>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</si>
  <si>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</si>
  <si>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</si>
  <si>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</si>
  <si>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</si>
  <si>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</si>
  <si>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</si>
  <si>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</si>
  <si>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</si>
  <si>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</si>
  <si>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</si>
  <si>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</si>
  <si>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</si>
  <si>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</si>
  <si>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</si>
  <si>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</si>
  <si>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</si>
  <si>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</si>
  <si>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</si>
  <si>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</si>
  <si>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</si>
  <si>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</si>
  <si>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</si>
  <si>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</si>
  <si>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</si>
  <si>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</si>
  <si>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</si>
  <si>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</si>
  <si>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</si>
  <si>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</si>
  <si>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</si>
  <si>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</si>
  <si>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</si>
  <si>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</si>
  <si>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</si>
  <si>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</si>
  <si>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</si>
  <si>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</si>
  <si>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</si>
  <si>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</si>
  <si>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</si>
  <si>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</si>
  <si>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</si>
  <si>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</si>
  <si>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</si>
  <si>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</si>
  <si>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</si>
  <si>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</si>
  <si>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</si>
  <si>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</si>
  <si>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</si>
  <si>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</si>
  <si>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</si>
  <si>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</si>
  <si>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</si>
  <si>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</si>
  <si>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</si>
  <si>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</si>
  <si>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</si>
  <si>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</si>
  <si>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</si>
  <si>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</si>
  <si>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</si>
  <si>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</si>
  <si>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</si>
  <si>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</si>
  <si>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</si>
  <si>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</si>
  <si>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</si>
  <si>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</si>
  <si>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</si>
  <si>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</si>
  <si>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</si>
  <si>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</si>
  <si>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</si>
  <si>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</si>
  <si>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</si>
  <si>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</si>
  <si>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</si>
  <si>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</si>
  <si>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</si>
  <si>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</si>
  <si>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</si>
  <si>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</si>
  <si>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</si>
  <si>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</si>
  <si>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</si>
  <si>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</si>
  <si>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</si>
  <si>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</si>
  <si>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</si>
  <si>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</si>
  <si>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</si>
  <si>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</si>
  <si>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</si>
  <si>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</si>
  <si>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</si>
  <si>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</si>
  <si>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</si>
  <si>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</si>
  <si>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</si>
  <si>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</si>
  <si>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</si>
  <si>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</si>
  <si>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</si>
  <si>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</si>
  <si>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</si>
  <si>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</si>
  <si>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</si>
  <si>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</si>
  <si>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</si>
  <si>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</si>
  <si>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</si>
  <si>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</si>
  <si>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</si>
  <si>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</si>
  <si>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</si>
  <si>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</si>
  <si>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</si>
  <si>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</si>
  <si>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</si>
  <si>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</si>
  <si>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</si>
  <si>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</si>
  <si>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</si>
  <si>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</si>
  <si>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</si>
  <si>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</si>
  <si>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</si>
  <si>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</si>
  <si>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</si>
  <si>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</si>
  <si>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</si>
  <si>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</si>
  <si>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</si>
  <si>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</si>
  <si>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</si>
  <si>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</si>
  <si>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</si>
  <si>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</si>
  <si>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</si>
  <si>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</si>
  <si>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</si>
  <si>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</si>
  <si>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</si>
  <si>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</si>
  <si>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</si>
  <si>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</si>
  <si>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</si>
  <si>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</si>
  <si>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</si>
  <si>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</si>
  <si>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</si>
  <si>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</si>
  <si>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</si>
  <si>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</si>
  <si>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</si>
  <si>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</si>
  <si>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</si>
  <si>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</si>
  <si>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</si>
  <si>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</si>
  <si>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</si>
  <si>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</si>
  <si>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</si>
  <si>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</si>
  <si>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</si>
  <si>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</si>
  <si>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</si>
  <si>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</si>
  <si>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</si>
  <si>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</si>
  <si>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</si>
  <si>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</si>
  <si>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</si>
  <si>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</si>
  <si>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</si>
  <si>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</si>
  <si>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</si>
  <si>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</si>
  <si>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</si>
  <si>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</si>
  <si>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</si>
  <si>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</si>
  <si>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</si>
  <si>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</si>
  <si>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</si>
  <si>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</si>
  <si>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</si>
  <si>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</si>
  <si>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</si>
  <si>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</si>
  <si>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</si>
  <si>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</si>
  <si>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</si>
  <si>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</si>
  <si>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</si>
  <si>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</si>
  <si>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</si>
  <si>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</si>
  <si>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</si>
  <si>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</si>
  <si>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</si>
  <si>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</si>
  <si>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</si>
  <si>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</si>
  <si>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</si>
  <si>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</si>
  <si>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</si>
  <si>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</si>
  <si>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</si>
  <si>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</si>
  <si>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</si>
  <si>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</si>
  <si>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</si>
  <si>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</si>
  <si>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</si>
  <si>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</si>
  <si>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</si>
  <si>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</si>
  <si>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</si>
  <si>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</si>
  <si>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</si>
  <si>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</si>
  <si>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</si>
  <si>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</si>
  <si>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</si>
  <si>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</si>
  <si>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</si>
  <si>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</si>
  <si>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</si>
  <si>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</si>
  <si>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</si>
  <si>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</si>
  <si>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</si>
  <si>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</si>
  <si>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</si>
  <si>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</si>
  <si>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</si>
  <si>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</si>
  <si>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</si>
  <si>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</si>
  <si>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</si>
  <si>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</si>
  <si>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</si>
  <si>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</si>
  <si>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</si>
  <si>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</si>
  <si>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</si>
  <si>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</si>
  <si>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</si>
  <si>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</si>
  <si>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</si>
  <si>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</si>
  <si>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</si>
  <si>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</si>
  <si>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</si>
  <si>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</si>
  <si>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</si>
  <si>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</si>
  <si>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</si>
  <si>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</si>
  <si>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</si>
  <si>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</si>
  <si>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</si>
  <si>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</si>
  <si>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</si>
  <si>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</si>
  <si>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</si>
  <si>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</si>
  <si>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</si>
  <si>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</si>
  <si>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</si>
  <si>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</si>
  <si>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</si>
  <si>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</si>
  <si>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</si>
  <si>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</si>
  <si>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</si>
  <si>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</si>
  <si>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</si>
  <si>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</si>
  <si>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</si>
  <si>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</si>
  <si>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</si>
  <si>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</si>
  <si>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</si>
  <si>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</si>
  <si>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</si>
  <si>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</si>
  <si>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</si>
  <si>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</si>
  <si>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</si>
  <si>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</si>
  <si>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</si>
  <si>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</si>
  <si>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</si>
  <si>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</si>
  <si>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</si>
  <si>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</si>
  <si>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</si>
  <si>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</si>
  <si>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</si>
  <si>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</si>
  <si>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</si>
  <si>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</si>
  <si>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</si>
  <si>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</si>
  <si>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</si>
  <si>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</si>
  <si>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</si>
  <si>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</si>
  <si>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</si>
  <si>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</si>
  <si>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</si>
  <si>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</si>
  <si>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</si>
  <si>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</si>
  <si>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</si>
  <si>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</si>
  <si>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</si>
  <si>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</si>
  <si>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</si>
  <si>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</si>
  <si>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</si>
  <si>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</si>
  <si>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</si>
  <si>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</si>
  <si>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</si>
  <si>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</si>
  <si>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</si>
  <si>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</si>
  <si>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</si>
  <si>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</si>
  <si>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</si>
  <si>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</si>
  <si>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</si>
  <si>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</si>
  <si>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</si>
  <si>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</si>
  <si>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</si>
  <si>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</si>
  <si>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</si>
  <si>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</si>
  <si>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</si>
  <si>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</si>
  <si>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</si>
  <si>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</si>
  <si>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</si>
  <si>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</si>
  <si>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</si>
  <si>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</si>
  <si>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</si>
  <si>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</si>
  <si>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</si>
  <si>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</si>
  <si>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</si>
  <si>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</si>
  <si>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</si>
  <si>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</si>
  <si>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</si>
  <si>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</si>
  <si>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</si>
  <si>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</si>
  <si>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</si>
  <si>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</si>
  <si>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</si>
  <si>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</si>
  <si>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</si>
  <si>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</si>
  <si>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</si>
  <si>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</si>
  <si>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</si>
  <si>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</si>
  <si>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</si>
  <si>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</si>
  <si>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</si>
  <si>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</si>
  <si>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</si>
  <si>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</si>
  <si>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</si>
  <si>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</si>
  <si>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</si>
  <si>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</si>
  <si>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</si>
  <si>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</si>
  <si>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</si>
  <si>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</si>
  <si>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</si>
  <si>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</si>
  <si>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</si>
  <si>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</si>
  <si>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</si>
  <si>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</si>
  <si>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</si>
  <si>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</si>
  <si>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</si>
  <si>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</si>
  <si>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</si>
  <si>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</si>
  <si>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</si>
  <si>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</si>
  <si>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</si>
  <si>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</si>
  <si>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</si>
  <si>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</si>
  <si>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</si>
  <si>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</si>
  <si>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</si>
  <si>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</si>
  <si>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</si>
  <si>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</si>
  <si>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</si>
  <si>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</si>
  <si>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</si>
  <si>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</si>
  <si>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</si>
  <si>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</si>
  <si>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</si>
  <si>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</si>
  <si>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</si>
  <si>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</si>
  <si>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</si>
  <si>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</si>
  <si>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</si>
  <si>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</si>
  <si>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</si>
  <si>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</si>
  <si>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</si>
  <si>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</si>
  <si>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</si>
  <si>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</si>
  <si>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</si>
  <si>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</si>
  <si>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</si>
  <si>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</si>
  <si>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</si>
  <si>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</si>
  <si>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</si>
  <si>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</si>
  <si>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</si>
  <si>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</si>
  <si>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</si>
  <si>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</si>
  <si>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</si>
  <si>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</si>
  <si>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</si>
  <si>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</si>
  <si>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</si>
  <si>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</si>
  <si>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</si>
  <si>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</si>
  <si>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</si>
  <si>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</si>
  <si>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</si>
  <si>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</si>
  <si>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</si>
  <si>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GRADEC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</si>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</sst>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2509527.3400000008</v>
      </c>
      <c r="D2" s="7">
        <f>'PR-RAS'!E6</f>
        <v>2899809.1599999997</v>
      </c>
      <c r="E2" s="7">
        <v>0</v>
      </c>
      <c r="F2" s="7">
        <v>0</v>
      </c>
      <c r="G2" s="8">
        <f t="shared" ref="G2:G274" si="0">(B2/1000)*(C2*1+D2*2)</f>
        <v>8309.1456600000001</v>
      </c>
      <c r="H2" s="8">
        <f t="shared" ref="H2:H274" si="1">ABS(C2-ROUND(C2,0))+ABS(D2-ROUND(D2,0))</f>
        <v>0.50000000046566129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1049263.6199999999</v>
      </c>
      <c r="D3" s="2">
        <f>'PR-RAS'!E7</f>
        <v>1270700.0299999998</v>
      </c>
      <c r="E3" s="2">
        <v>0</v>
      </c>
      <c r="F3" s="2">
        <v>0</v>
      </c>
      <c r="G3" s="3">
        <f t="shared" si="0"/>
        <v>7181.3273599999993</v>
      </c>
      <c r="H3" s="3">
        <f t="shared" si="1"/>
        <v>0.40999999991618097</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1005205.85</v>
      </c>
      <c r="D4" s="2">
        <f>'PR-RAS'!E8</f>
        <v>1216320.5299999998</v>
      </c>
      <c r="E4" s="2">
        <v>0</v>
      </c>
      <c r="F4" s="2">
        <v>0</v>
      </c>
      <c r="G4" s="3">
        <f t="shared" si="0"/>
        <v>10313.540729999999</v>
      </c>
      <c r="H4" s="3">
        <f t="shared" si="1"/>
        <v>0.62000000022817403</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1005205.85</v>
      </c>
      <c r="D5" s="2">
        <f>'PR-RAS'!E9</f>
        <v>1186151.8799999999</v>
      </c>
      <c r="E5" s="2">
        <v>0</v>
      </c>
      <c r="F5" s="2">
        <v>0</v>
      </c>
      <c r="G5" s="3">
        <f t="shared" si="0"/>
        <v>13510.03844</v>
      </c>
      <c r="H5" s="3">
        <f t="shared" si="1"/>
        <v>0.27000000013504177</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30168.65</v>
      </c>
      <c r="E8" s="2">
        <v>0</v>
      </c>
      <c r="F8" s="2">
        <v>0</v>
      </c>
      <c r="G8" s="3">
        <f t="shared" si="0"/>
        <v>422.36110000000002</v>
      </c>
      <c r="H8" s="3">
        <f t="shared" si="1"/>
        <v>0.34999999999854481</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34019.129999999997</v>
      </c>
      <c r="D19" s="2">
        <f>'PR-RAS'!E23</f>
        <v>42884.74</v>
      </c>
      <c r="E19" s="2">
        <v>0</v>
      </c>
      <c r="F19" s="2">
        <v>0</v>
      </c>
      <c r="G19" s="3">
        <f t="shared" si="0"/>
        <v>2156.1949799999998</v>
      </c>
      <c r="H19" s="3">
        <f t="shared" si="1"/>
        <v>0.38999999999941792</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1811.81</v>
      </c>
      <c r="D20" s="2">
        <f>'PR-RAS'!E24</f>
        <v>4175.8900000000003</v>
      </c>
      <c r="E20" s="2">
        <v>0</v>
      </c>
      <c r="F20" s="2">
        <v>0</v>
      </c>
      <c r="G20" s="3">
        <f t="shared" si="0"/>
        <v>193.10820999999999</v>
      </c>
      <c r="H20" s="3">
        <f t="shared" si="1"/>
        <v>0.29999999999972715</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32207.32</v>
      </c>
      <c r="D23" s="2">
        <f>'PR-RAS'!E27</f>
        <v>38708.85</v>
      </c>
      <c r="E23" s="2">
        <v>0</v>
      </c>
      <c r="F23" s="2">
        <v>0</v>
      </c>
      <c r="G23" s="3">
        <f t="shared" si="0"/>
        <v>2411.7504399999998</v>
      </c>
      <c r="H23" s="3">
        <f t="shared" si="1"/>
        <v>0.47000000000116415</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10038.640000000001</v>
      </c>
      <c r="D25" s="2">
        <f>'PR-RAS'!E29</f>
        <v>11494.76</v>
      </c>
      <c r="E25" s="2">
        <v>0</v>
      </c>
      <c r="F25" s="2">
        <v>0</v>
      </c>
      <c r="G25" s="3">
        <f t="shared" si="0"/>
        <v>792.67584000000011</v>
      </c>
      <c r="H25" s="3">
        <f t="shared" si="1"/>
        <v>0.59999999999854481</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9946.61</v>
      </c>
      <c r="D27" s="2">
        <f>'PR-RAS'!E31</f>
        <v>11494.76</v>
      </c>
      <c r="E27" s="2">
        <v>0</v>
      </c>
      <c r="F27" s="2">
        <v>0</v>
      </c>
      <c r="G27" s="3">
        <f t="shared" si="0"/>
        <v>856.33938000000012</v>
      </c>
      <c r="H27" s="3">
        <f t="shared" si="1"/>
        <v>0.62999999999919964</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92.03</v>
      </c>
      <c r="D29" s="2">
        <f>'PR-RAS'!E33</f>
        <v>0</v>
      </c>
      <c r="E29" s="2">
        <v>0</v>
      </c>
      <c r="F29" s="2">
        <v>0</v>
      </c>
      <c r="G29" s="3">
        <f t="shared" si="0"/>
        <v>2.5768400000000002</v>
      </c>
      <c r="H29" s="3">
        <f t="shared" si="1"/>
        <v>3.0000000000001137E-2</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1192864.1200000001</v>
      </c>
      <c r="D45" s="2">
        <f>'PR-RAS'!E49</f>
        <v>1364660.5899999999</v>
      </c>
      <c r="E45" s="2">
        <v>0</v>
      </c>
      <c r="F45" s="2">
        <v>0</v>
      </c>
      <c r="G45" s="3">
        <f t="shared" si="0"/>
        <v>172576.15319999997</v>
      </c>
      <c r="H45" s="3">
        <f t="shared" si="1"/>
        <v>0.53000000026077032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891652.27</v>
      </c>
      <c r="D54" s="2">
        <f>'PR-RAS'!E58</f>
        <v>1054704.17</v>
      </c>
      <c r="E54" s="2">
        <v>0</v>
      </c>
      <c r="F54" s="2">
        <v>0</v>
      </c>
      <c r="G54" s="3">
        <f t="shared" si="0"/>
        <v>159056.21232999998</v>
      </c>
      <c r="H54" s="3">
        <f t="shared" si="1"/>
        <v>0.43999999994412065</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823052.27</v>
      </c>
      <c r="D55" s="2">
        <f>'PR-RAS'!E59</f>
        <v>865817.17</v>
      </c>
      <c r="E55" s="2">
        <v>0</v>
      </c>
      <c r="F55" s="2">
        <v>0</v>
      </c>
      <c r="G55" s="3">
        <f t="shared" si="0"/>
        <v>137953.07694000003</v>
      </c>
      <c r="H55" s="3">
        <f t="shared" si="1"/>
        <v>0.44000000006053597</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68600</v>
      </c>
      <c r="D56" s="2">
        <f>'PR-RAS'!E60</f>
        <v>188887</v>
      </c>
      <c r="E56" s="2">
        <v>0</v>
      </c>
      <c r="F56" s="2">
        <v>0</v>
      </c>
      <c r="G56" s="3">
        <f t="shared" si="0"/>
        <v>24550.57</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301211.84999999998</v>
      </c>
      <c r="D70" s="2">
        <f>'PR-RAS'!E74</f>
        <v>309956.42</v>
      </c>
      <c r="E70" s="2">
        <v>0</v>
      </c>
      <c r="F70" s="2">
        <v>0</v>
      </c>
      <c r="G70" s="3">
        <f t="shared" si="0"/>
        <v>63557.603609999998</v>
      </c>
      <c r="H70" s="3">
        <f t="shared" si="1"/>
        <v>0.57000000000698492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301211.84999999998</v>
      </c>
      <c r="D72" s="2">
        <f>'PR-RAS'!E76</f>
        <v>309956.42</v>
      </c>
      <c r="E72" s="2">
        <v>0</v>
      </c>
      <c r="F72" s="2">
        <v>0</v>
      </c>
      <c r="G72" s="3">
        <f t="shared" si="0"/>
        <v>65399.852989999992</v>
      </c>
      <c r="H72" s="3">
        <f t="shared" si="1"/>
        <v>0.57000000000698492</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48636.930000000008</v>
      </c>
      <c r="D78" s="2">
        <f>'PR-RAS'!E82</f>
        <v>34850.259999999995</v>
      </c>
      <c r="E78" s="2">
        <v>0</v>
      </c>
      <c r="F78" s="2">
        <v>0</v>
      </c>
      <c r="G78" s="3">
        <f t="shared" si="0"/>
        <v>9111.9836500000001</v>
      </c>
      <c r="H78" s="3">
        <f t="shared" si="1"/>
        <v>0.32999999998719431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14.29</v>
      </c>
      <c r="D79" s="2">
        <f>'PR-RAS'!E83</f>
        <v>18.77</v>
      </c>
      <c r="E79" s="2">
        <v>0</v>
      </c>
      <c r="F79" s="2">
        <v>0</v>
      </c>
      <c r="G79" s="3">
        <f t="shared" si="0"/>
        <v>4.0427400000000002</v>
      </c>
      <c r="H79" s="3">
        <f t="shared" si="1"/>
        <v>0.51999999999999957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14.29</v>
      </c>
      <c r="D81" s="2">
        <f>'PR-RAS'!E85</f>
        <v>18.77</v>
      </c>
      <c r="E81" s="2">
        <v>0</v>
      </c>
      <c r="F81" s="2">
        <v>0</v>
      </c>
      <c r="G81" s="3">
        <f t="shared" si="0"/>
        <v>4.1463999999999999</v>
      </c>
      <c r="H81" s="3">
        <f t="shared" si="1"/>
        <v>0.51999999999999957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48622.640000000007</v>
      </c>
      <c r="D87" s="2">
        <f>'PR-RAS'!E91</f>
        <v>34831.49</v>
      </c>
      <c r="E87" s="2">
        <v>0</v>
      </c>
      <c r="F87" s="2">
        <v>0</v>
      </c>
      <c r="G87" s="3">
        <f t="shared" si="0"/>
        <v>10172.563319999999</v>
      </c>
      <c r="H87" s="3">
        <f t="shared" si="1"/>
        <v>0.84999999999126885</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4723.87</v>
      </c>
      <c r="D88" s="2">
        <f>'PR-RAS'!E92</f>
        <v>3531.02</v>
      </c>
      <c r="E88" s="2">
        <v>0</v>
      </c>
      <c r="F88" s="2">
        <v>0</v>
      </c>
      <c r="G88" s="3">
        <f t="shared" si="0"/>
        <v>1025.3741699999998</v>
      </c>
      <c r="H88" s="3">
        <f t="shared" si="1"/>
        <v>0.15000000000009095</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43553.54</v>
      </c>
      <c r="D89" s="2">
        <f>'PR-RAS'!E93</f>
        <v>31300.47</v>
      </c>
      <c r="E89" s="2">
        <v>0</v>
      </c>
      <c r="F89" s="2">
        <v>0</v>
      </c>
      <c r="G89" s="3">
        <f t="shared" si="0"/>
        <v>9341.5942400000004</v>
      </c>
      <c r="H89" s="3">
        <f t="shared" si="1"/>
        <v>0.93000000000029104</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345.23</v>
      </c>
      <c r="D93" s="2">
        <f>'PR-RAS'!E97</f>
        <v>0</v>
      </c>
      <c r="E93" s="2">
        <v>0</v>
      </c>
      <c r="F93" s="2">
        <v>0</v>
      </c>
      <c r="G93" s="3">
        <f t="shared" si="0"/>
        <v>31.76116</v>
      </c>
      <c r="H93" s="3">
        <f t="shared" si="1"/>
        <v>0.23000000000001819</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109418.20999999999</v>
      </c>
      <c r="D102" s="2">
        <f>'PR-RAS'!E106</f>
        <v>109865.45999999999</v>
      </c>
      <c r="E102" s="2">
        <v>0</v>
      </c>
      <c r="F102" s="2">
        <v>0</v>
      </c>
      <c r="G102" s="3">
        <f t="shared" si="0"/>
        <v>33244.062130000006</v>
      </c>
      <c r="H102" s="3">
        <f t="shared" si="1"/>
        <v>0.66999999998370185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49.78</v>
      </c>
      <c r="D103" s="2">
        <f>'PR-RAS'!E107</f>
        <v>24.89</v>
      </c>
      <c r="E103" s="2">
        <v>0</v>
      </c>
      <c r="F103" s="2">
        <v>0</v>
      </c>
      <c r="G103" s="3">
        <f t="shared" si="0"/>
        <v>10.15512</v>
      </c>
      <c r="H103" s="3">
        <f t="shared" si="1"/>
        <v>0.32999999999999829</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24.89</v>
      </c>
      <c r="D104" s="2">
        <f>'PR-RAS'!E108</f>
        <v>0</v>
      </c>
      <c r="E104" s="2">
        <v>0</v>
      </c>
      <c r="F104" s="2">
        <v>0</v>
      </c>
      <c r="G104" s="3">
        <f t="shared" si="0"/>
        <v>2.5636700000000001</v>
      </c>
      <c r="H104" s="3">
        <f t="shared" si="1"/>
        <v>0.10999999999999943</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24.89</v>
      </c>
      <c r="D107" s="2">
        <f>'PR-RAS'!E111</f>
        <v>24.89</v>
      </c>
      <c r="E107" s="2">
        <v>0</v>
      </c>
      <c r="F107" s="2">
        <v>0</v>
      </c>
      <c r="G107" s="3">
        <f t="shared" si="0"/>
        <v>7.9150200000000002</v>
      </c>
      <c r="H107" s="3">
        <f t="shared" si="1"/>
        <v>0.21999999999999886</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60899.729999999996</v>
      </c>
      <c r="D108" s="2">
        <f>'PR-RAS'!E112</f>
        <v>61694.32</v>
      </c>
      <c r="E108" s="2">
        <v>0</v>
      </c>
      <c r="F108" s="2">
        <v>0</v>
      </c>
      <c r="G108" s="3">
        <f t="shared" si="0"/>
        <v>19718.855589999999</v>
      </c>
      <c r="H108" s="3">
        <f t="shared" si="1"/>
        <v>0.5900000000037835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52398.31</v>
      </c>
      <c r="D111" s="2">
        <f>'PR-RAS'!E115</f>
        <v>53214.15</v>
      </c>
      <c r="E111" s="2">
        <v>0</v>
      </c>
      <c r="F111" s="2">
        <v>0</v>
      </c>
      <c r="G111" s="3">
        <f t="shared" si="0"/>
        <v>17470.927099999997</v>
      </c>
      <c r="H111" s="3">
        <f t="shared" si="1"/>
        <v>0.45999999999912689</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8501.42</v>
      </c>
      <c r="D113" s="2">
        <f>'PR-RAS'!E117</f>
        <v>8480.17</v>
      </c>
      <c r="E113" s="2">
        <v>0</v>
      </c>
      <c r="F113" s="2">
        <v>0</v>
      </c>
      <c r="G113" s="3">
        <f t="shared" si="0"/>
        <v>2851.7171200000003</v>
      </c>
      <c r="H113" s="3">
        <f t="shared" si="1"/>
        <v>0.59000000000014552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48468.7</v>
      </c>
      <c r="D116" s="2">
        <f>'PR-RAS'!E120</f>
        <v>48146.25</v>
      </c>
      <c r="E116" s="2">
        <v>0</v>
      </c>
      <c r="F116" s="2">
        <v>0</v>
      </c>
      <c r="G116" s="3">
        <f t="shared" si="0"/>
        <v>16647.538</v>
      </c>
      <c r="H116" s="3">
        <f t="shared" si="1"/>
        <v>0.55000000000291038</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2128.7800000000002</v>
      </c>
      <c r="D117" s="2">
        <f>'PR-RAS'!E121</f>
        <v>1593.12</v>
      </c>
      <c r="E117" s="2">
        <v>0</v>
      </c>
      <c r="F117" s="2">
        <v>0</v>
      </c>
      <c r="G117" s="3">
        <f t="shared" si="0"/>
        <v>616.54232000000013</v>
      </c>
      <c r="H117" s="3">
        <f t="shared" si="1"/>
        <v>0.33999999999969077</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46339.92</v>
      </c>
      <c r="D118" s="2">
        <f>'PR-RAS'!E122</f>
        <v>46553.13</v>
      </c>
      <c r="E118" s="2">
        <v>0</v>
      </c>
      <c r="F118" s="2">
        <v>0</v>
      </c>
      <c r="G118" s="3">
        <f t="shared" si="0"/>
        <v>16315.20306</v>
      </c>
      <c r="H118" s="3">
        <f t="shared" si="1"/>
        <v>0.20999999999912689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107666.72</v>
      </c>
      <c r="D121" s="2">
        <f>'PR-RAS'!E125</f>
        <v>117637.1</v>
      </c>
      <c r="E121" s="2">
        <v>0</v>
      </c>
      <c r="F121" s="2">
        <v>0</v>
      </c>
      <c r="G121" s="3">
        <f t="shared" si="0"/>
        <v>41152.910400000001</v>
      </c>
      <c r="H121" s="3">
        <f t="shared" si="1"/>
        <v>0.38000000000465661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107003.11</v>
      </c>
      <c r="D122" s="2">
        <f>'PR-RAS'!E126</f>
        <v>116973.49</v>
      </c>
      <c r="E122" s="2">
        <v>0</v>
      </c>
      <c r="F122" s="2">
        <v>0</v>
      </c>
      <c r="G122" s="3">
        <f t="shared" si="0"/>
        <v>41254.960890000002</v>
      </c>
      <c r="H122" s="3">
        <f t="shared" si="1"/>
        <v>0.60000000000582077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107003.11</v>
      </c>
      <c r="D124" s="2">
        <f>'PR-RAS'!E128</f>
        <v>116973.49</v>
      </c>
      <c r="E124" s="2">
        <v>0</v>
      </c>
      <c r="F124" s="2">
        <v>0</v>
      </c>
      <c r="G124" s="3">
        <f t="shared" si="0"/>
        <v>41936.861069999999</v>
      </c>
      <c r="H124" s="3">
        <f t="shared" si="1"/>
        <v>0.60000000000582077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663.61</v>
      </c>
      <c r="D125" s="2">
        <f>'PR-RAS'!E129</f>
        <v>663.61</v>
      </c>
      <c r="E125" s="2">
        <v>0</v>
      </c>
      <c r="F125" s="2">
        <v>0</v>
      </c>
      <c r="G125" s="3">
        <f t="shared" si="0"/>
        <v>246.86292</v>
      </c>
      <c r="H125" s="3">
        <f t="shared" si="1"/>
        <v>0.77999999999997272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663.61</v>
      </c>
      <c r="D126" s="2">
        <f>'PR-RAS'!E130</f>
        <v>663.61</v>
      </c>
      <c r="E126" s="2">
        <v>0</v>
      </c>
      <c r="F126" s="2">
        <v>0</v>
      </c>
      <c r="G126" s="3">
        <f t="shared" si="0"/>
        <v>248.85374999999999</v>
      </c>
      <c r="H126" s="3">
        <f t="shared" si="1"/>
        <v>0.77999999999997272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1677.74</v>
      </c>
      <c r="D136" s="2">
        <f>'PR-RAS'!E140</f>
        <v>2095.7199999999998</v>
      </c>
      <c r="E136" s="2">
        <v>0</v>
      </c>
      <c r="F136" s="2">
        <v>0</v>
      </c>
      <c r="G136" s="3">
        <f t="shared" si="0"/>
        <v>792.33929999999998</v>
      </c>
      <c r="H136" s="3">
        <f t="shared" si="1"/>
        <v>0.54000000000019099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1677.74</v>
      </c>
      <c r="D147" s="2">
        <f>'PR-RAS'!E151</f>
        <v>2095.7199999999998</v>
      </c>
      <c r="E147" s="2">
        <v>0</v>
      </c>
      <c r="F147" s="2">
        <v>0</v>
      </c>
      <c r="G147" s="3">
        <f t="shared" si="0"/>
        <v>856.90027999999984</v>
      </c>
      <c r="H147" s="3">
        <f t="shared" si="1"/>
        <v>0.54000000000019099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1282517.6100000001</v>
      </c>
      <c r="D148" s="2">
        <f>'PR-RAS'!E152</f>
        <v>1976608.4499999997</v>
      </c>
      <c r="E148" s="2">
        <v>0</v>
      </c>
      <c r="F148" s="2">
        <v>0</v>
      </c>
      <c r="G148" s="3">
        <f t="shared" si="0"/>
        <v>769652.97296999989</v>
      </c>
      <c r="H148" s="3">
        <f t="shared" si="1"/>
        <v>0.83999999961815774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389521.38000000006</v>
      </c>
      <c r="D149" s="2">
        <f>'PR-RAS'!E153</f>
        <v>569431.1</v>
      </c>
      <c r="E149" s="2">
        <v>0</v>
      </c>
      <c r="F149" s="2">
        <v>0</v>
      </c>
      <c r="G149" s="3">
        <f t="shared" si="0"/>
        <v>226200.76983999999</v>
      </c>
      <c r="H149" s="3">
        <f t="shared" si="1"/>
        <v>0.48000000003958121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317827.15000000002</v>
      </c>
      <c r="D150" s="2">
        <f>'PR-RAS'!E154</f>
        <v>464459.37</v>
      </c>
      <c r="E150" s="2">
        <v>0</v>
      </c>
      <c r="F150" s="2">
        <v>0</v>
      </c>
      <c r="G150" s="3">
        <f t="shared" si="0"/>
        <v>185765.13761000001</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317827.15000000002</v>
      </c>
      <c r="D151" s="2">
        <f>'PR-RAS'!E155</f>
        <v>464459.37</v>
      </c>
      <c r="E151" s="2">
        <v>0</v>
      </c>
      <c r="F151" s="2">
        <v>0</v>
      </c>
      <c r="G151" s="3">
        <f t="shared" si="0"/>
        <v>187011.88350000003</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19127.09</v>
      </c>
      <c r="D155" s="2">
        <f>'PR-RAS'!E159</f>
        <v>28309.05</v>
      </c>
      <c r="E155" s="2">
        <v>0</v>
      </c>
      <c r="F155" s="2">
        <v>0</v>
      </c>
      <c r="G155" s="3">
        <f t="shared" si="0"/>
        <v>11664.759260000001</v>
      </c>
      <c r="H155" s="3">
        <f t="shared" si="1"/>
        <v>0.13999999999941792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52567.14</v>
      </c>
      <c r="D156" s="2">
        <f>'PR-RAS'!E160</f>
        <v>76662.679999999993</v>
      </c>
      <c r="E156" s="2">
        <v>0</v>
      </c>
      <c r="F156" s="2">
        <v>0</v>
      </c>
      <c r="G156" s="3">
        <f t="shared" si="0"/>
        <v>31913.337500000001</v>
      </c>
      <c r="H156" s="3">
        <f t="shared" si="1"/>
        <v>0.46000000000640284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52567.14</v>
      </c>
      <c r="D158" s="2">
        <f>'PR-RAS'!E162</f>
        <v>76662.679999999993</v>
      </c>
      <c r="E158" s="2">
        <v>0</v>
      </c>
      <c r="F158" s="2">
        <v>0</v>
      </c>
      <c r="G158" s="3">
        <f t="shared" si="0"/>
        <v>32325.122500000001</v>
      </c>
      <c r="H158" s="3">
        <f t="shared" si="1"/>
        <v>0.46000000000640284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593459.81000000006</v>
      </c>
      <c r="D160" s="2">
        <f>'PR-RAS'!E164</f>
        <v>690354.51</v>
      </c>
      <c r="E160" s="2">
        <v>0</v>
      </c>
      <c r="F160" s="2">
        <v>0</v>
      </c>
      <c r="G160" s="3">
        <f t="shared" si="0"/>
        <v>313892.84397000005</v>
      </c>
      <c r="H160" s="3">
        <f t="shared" si="1"/>
        <v>0.67999999993480742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27367.8</v>
      </c>
      <c r="D161" s="2">
        <f>'PR-RAS'!E165</f>
        <v>24623.22</v>
      </c>
      <c r="E161" s="2">
        <v>0</v>
      </c>
      <c r="F161" s="2">
        <v>0</v>
      </c>
      <c r="G161" s="3">
        <f t="shared" si="0"/>
        <v>12258.278400000001</v>
      </c>
      <c r="H161" s="3">
        <f t="shared" si="1"/>
        <v>0.42000000000189175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1678.7</v>
      </c>
      <c r="D162" s="2">
        <f>'PR-RAS'!E166</f>
        <v>944.32</v>
      </c>
      <c r="E162" s="2">
        <v>0</v>
      </c>
      <c r="F162" s="2">
        <v>0</v>
      </c>
      <c r="G162" s="3">
        <f t="shared" si="0"/>
        <v>574.34174000000007</v>
      </c>
      <c r="H162" s="3">
        <f t="shared" si="1"/>
        <v>0.62000000000000455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13176.4</v>
      </c>
      <c r="D163" s="2">
        <f>'PR-RAS'!E167</f>
        <v>15900.89</v>
      </c>
      <c r="E163" s="2">
        <v>0</v>
      </c>
      <c r="F163" s="2">
        <v>0</v>
      </c>
      <c r="G163" s="3">
        <f t="shared" si="0"/>
        <v>7286.4651600000007</v>
      </c>
      <c r="H163" s="3">
        <f t="shared" si="1"/>
        <v>0.51000000000021828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3850.25</v>
      </c>
      <c r="D164" s="2">
        <f>'PR-RAS'!E168</f>
        <v>3377.65</v>
      </c>
      <c r="E164" s="2">
        <v>0</v>
      </c>
      <c r="F164" s="2">
        <v>0</v>
      </c>
      <c r="G164" s="3">
        <f t="shared" si="0"/>
        <v>1728.7046499999999</v>
      </c>
      <c r="H164" s="3">
        <f t="shared" si="1"/>
        <v>0.59999999999990905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8662.4500000000007</v>
      </c>
      <c r="D165" s="2">
        <f>'PR-RAS'!E169</f>
        <v>4400.3600000000006</v>
      </c>
      <c r="E165" s="2">
        <v>0</v>
      </c>
      <c r="F165" s="2">
        <v>0</v>
      </c>
      <c r="G165" s="3">
        <f t="shared" si="0"/>
        <v>2863.9598800000003</v>
      </c>
      <c r="H165" s="3">
        <f t="shared" si="1"/>
        <v>0.81000000000130967</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98789.200000000012</v>
      </c>
      <c r="D166" s="2">
        <f>'PR-RAS'!E170</f>
        <v>106408.51000000001</v>
      </c>
      <c r="E166" s="2">
        <v>0</v>
      </c>
      <c r="F166" s="2">
        <v>0</v>
      </c>
      <c r="G166" s="3">
        <f t="shared" si="0"/>
        <v>51415.026300000005</v>
      </c>
      <c r="H166" s="3">
        <f t="shared" si="1"/>
        <v>0.69000000000232831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15639.3</v>
      </c>
      <c r="D167" s="2">
        <f>'PR-RAS'!E171</f>
        <v>23300.65</v>
      </c>
      <c r="E167" s="2">
        <v>0</v>
      </c>
      <c r="F167" s="2">
        <v>0</v>
      </c>
      <c r="G167" s="3">
        <f t="shared" si="0"/>
        <v>10331.939600000002</v>
      </c>
      <c r="H167" s="3">
        <f t="shared" si="1"/>
        <v>0.64999999999781721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55114.89</v>
      </c>
      <c r="D168" s="2">
        <f>'PR-RAS'!E172</f>
        <v>53032.33</v>
      </c>
      <c r="E168" s="2">
        <v>0</v>
      </c>
      <c r="F168" s="2">
        <v>0</v>
      </c>
      <c r="G168" s="3">
        <f t="shared" si="0"/>
        <v>26916.984850000001</v>
      </c>
      <c r="H168" s="3">
        <f t="shared" si="1"/>
        <v>0.44000000000232831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20894.72</v>
      </c>
      <c r="D169" s="2">
        <f>'PR-RAS'!E173</f>
        <v>27305.61</v>
      </c>
      <c r="E169" s="2">
        <v>0</v>
      </c>
      <c r="F169" s="2">
        <v>0</v>
      </c>
      <c r="G169" s="3">
        <f t="shared" si="0"/>
        <v>12684.997920000002</v>
      </c>
      <c r="H169" s="3">
        <f t="shared" si="1"/>
        <v>0.66999999999825377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4321.47</v>
      </c>
      <c r="D170" s="2">
        <f>'PR-RAS'!E174</f>
        <v>1028.94</v>
      </c>
      <c r="E170" s="2">
        <v>0</v>
      </c>
      <c r="F170" s="2">
        <v>0</v>
      </c>
      <c r="G170" s="3">
        <f t="shared" si="0"/>
        <v>1078.1101500000002</v>
      </c>
      <c r="H170" s="3">
        <f t="shared" si="1"/>
        <v>0.53000000000020009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2016.32</v>
      </c>
      <c r="D171" s="2">
        <f>'PR-RAS'!E175</f>
        <v>1740.98</v>
      </c>
      <c r="E171" s="2">
        <v>0</v>
      </c>
      <c r="F171" s="2">
        <v>0</v>
      </c>
      <c r="G171" s="3">
        <f t="shared" si="0"/>
        <v>934.70760000000007</v>
      </c>
      <c r="H171" s="3">
        <f t="shared" si="1"/>
        <v>0.33999999999991815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802.5</v>
      </c>
      <c r="D173" s="2">
        <f>'PR-RAS'!E177</f>
        <v>0</v>
      </c>
      <c r="E173" s="2">
        <v>0</v>
      </c>
      <c r="F173" s="2">
        <v>0</v>
      </c>
      <c r="G173" s="3">
        <f t="shared" si="0"/>
        <v>138.03</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390823.16000000003</v>
      </c>
      <c r="D174" s="2">
        <f>'PR-RAS'!E178</f>
        <v>431932.95000000007</v>
      </c>
      <c r="E174" s="2">
        <v>0</v>
      </c>
      <c r="F174" s="2">
        <v>0</v>
      </c>
      <c r="G174" s="3">
        <f t="shared" si="0"/>
        <v>217061.20738000001</v>
      </c>
      <c r="H174" s="3">
        <f t="shared" si="1"/>
        <v>0.2099999999627471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13979.1</v>
      </c>
      <c r="D175" s="2">
        <f>'PR-RAS'!E179</f>
        <v>20623.75</v>
      </c>
      <c r="E175" s="2">
        <v>0</v>
      </c>
      <c r="F175" s="2">
        <v>0</v>
      </c>
      <c r="G175" s="3">
        <f t="shared" si="0"/>
        <v>9609.4283999999989</v>
      </c>
      <c r="H175" s="3">
        <f t="shared" si="1"/>
        <v>0.3500000000003638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118605.41</v>
      </c>
      <c r="D176" s="2">
        <f>'PR-RAS'!E180</f>
        <v>100317.65</v>
      </c>
      <c r="E176" s="2">
        <v>0</v>
      </c>
      <c r="F176" s="2">
        <v>0</v>
      </c>
      <c r="G176" s="3">
        <f t="shared" si="0"/>
        <v>55867.124249999993</v>
      </c>
      <c r="H176" s="3">
        <f t="shared" si="1"/>
        <v>0.76000000000931323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15664.28</v>
      </c>
      <c r="D177" s="2">
        <f>'PR-RAS'!E181</f>
        <v>20938.68</v>
      </c>
      <c r="E177" s="2">
        <v>0</v>
      </c>
      <c r="F177" s="2">
        <v>0</v>
      </c>
      <c r="G177" s="3">
        <f t="shared" si="0"/>
        <v>10127.32864</v>
      </c>
      <c r="H177" s="3">
        <f t="shared" si="1"/>
        <v>0.6000000000003638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37649.379999999997</v>
      </c>
      <c r="D178" s="2">
        <f>'PR-RAS'!E182</f>
        <v>44706.61</v>
      </c>
      <c r="E178" s="2">
        <v>0</v>
      </c>
      <c r="F178" s="2">
        <v>0</v>
      </c>
      <c r="G178" s="3">
        <f t="shared" si="0"/>
        <v>22490.0802</v>
      </c>
      <c r="H178" s="3">
        <f t="shared" si="1"/>
        <v>0.76999999999679858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30605.599999999999</v>
      </c>
      <c r="D180" s="2">
        <f>'PR-RAS'!E184</f>
        <v>36603.35</v>
      </c>
      <c r="E180" s="2">
        <v>0</v>
      </c>
      <c r="F180" s="2">
        <v>0</v>
      </c>
      <c r="G180" s="3">
        <f t="shared" si="0"/>
        <v>18582.401699999999</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102575.82</v>
      </c>
      <c r="D181" s="2">
        <f>'PR-RAS'!E185</f>
        <v>126126.75</v>
      </c>
      <c r="E181" s="2">
        <v>0</v>
      </c>
      <c r="F181" s="2">
        <v>0</v>
      </c>
      <c r="G181" s="3">
        <f t="shared" si="0"/>
        <v>63869.277600000001</v>
      </c>
      <c r="H181" s="3">
        <f t="shared" si="1"/>
        <v>0.42999999999301508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27504.83</v>
      </c>
      <c r="D182" s="2">
        <f>'PR-RAS'!E186</f>
        <v>37809.83</v>
      </c>
      <c r="E182" s="2">
        <v>0</v>
      </c>
      <c r="F182" s="2">
        <v>0</v>
      </c>
      <c r="G182" s="3">
        <f t="shared" si="0"/>
        <v>18665.53269</v>
      </c>
      <c r="H182" s="3">
        <f t="shared" si="1"/>
        <v>0.33999999999650754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44238.74</v>
      </c>
      <c r="D183" s="2">
        <f>'PR-RAS'!E187</f>
        <v>44806.329999999994</v>
      </c>
      <c r="E183" s="2">
        <v>0</v>
      </c>
      <c r="F183" s="2">
        <v>0</v>
      </c>
      <c r="G183" s="3">
        <f t="shared" si="0"/>
        <v>24360.9548</v>
      </c>
      <c r="H183" s="3">
        <f t="shared" si="1"/>
        <v>0.58999999999650754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970.49</v>
      </c>
      <c r="E184" s="2">
        <v>0</v>
      </c>
      <c r="F184" s="2">
        <v>0</v>
      </c>
      <c r="G184" s="3">
        <f t="shared" si="0"/>
        <v>355.19934000000001</v>
      </c>
      <c r="H184" s="3">
        <f t="shared" si="1"/>
        <v>0.49000000000000909</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76479.649999999994</v>
      </c>
      <c r="D190" s="2">
        <f>'PR-RAS'!E194</f>
        <v>126419.34</v>
      </c>
      <c r="E190" s="2">
        <v>0</v>
      </c>
      <c r="F190" s="2">
        <v>0</v>
      </c>
      <c r="G190" s="3">
        <f t="shared" si="0"/>
        <v>62241.164369999991</v>
      </c>
      <c r="H190" s="3">
        <f t="shared" si="1"/>
        <v>0.69000000000232831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27745.040000000001</v>
      </c>
      <c r="D191" s="2">
        <f>'PR-RAS'!E195</f>
        <v>67305.899999999994</v>
      </c>
      <c r="E191" s="2">
        <v>0</v>
      </c>
      <c r="F191" s="2">
        <v>0</v>
      </c>
      <c r="G191" s="3">
        <f t="shared" si="0"/>
        <v>30847.799599999998</v>
      </c>
      <c r="H191" s="3">
        <f t="shared" si="1"/>
        <v>0.14000000000669388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2146.44</v>
      </c>
      <c r="D192" s="2">
        <f>'PR-RAS'!E196</f>
        <v>2434.34</v>
      </c>
      <c r="E192" s="2">
        <v>0</v>
      </c>
      <c r="F192" s="2">
        <v>0</v>
      </c>
      <c r="G192" s="3">
        <f t="shared" si="0"/>
        <v>1339.8879200000001</v>
      </c>
      <c r="H192" s="3">
        <f t="shared" si="1"/>
        <v>0.78000000000020009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9479.81</v>
      </c>
      <c r="D193" s="2">
        <f>'PR-RAS'!E197</f>
        <v>7743.82</v>
      </c>
      <c r="E193" s="2">
        <v>0</v>
      </c>
      <c r="F193" s="2">
        <v>0</v>
      </c>
      <c r="G193" s="3">
        <f t="shared" si="0"/>
        <v>4793.7503999999999</v>
      </c>
      <c r="H193" s="3">
        <f t="shared" si="1"/>
        <v>0.37000000000080036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1511.72</v>
      </c>
      <c r="D194" s="2">
        <f>'PR-RAS'!E198</f>
        <v>3392.3</v>
      </c>
      <c r="E194" s="2">
        <v>0</v>
      </c>
      <c r="F194" s="2">
        <v>0</v>
      </c>
      <c r="G194" s="3">
        <f t="shared" si="0"/>
        <v>1601.18976</v>
      </c>
      <c r="H194" s="3">
        <f t="shared" si="1"/>
        <v>0.58000000000015461</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1045.46</v>
      </c>
      <c r="D195" s="2">
        <f>'PR-RAS'!E199</f>
        <v>4084.98</v>
      </c>
      <c r="E195" s="2">
        <v>0</v>
      </c>
      <c r="F195" s="2">
        <v>0</v>
      </c>
      <c r="G195" s="3">
        <f t="shared" si="0"/>
        <v>1787.7914800000001</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413.88</v>
      </c>
      <c r="E196" s="2">
        <v>0</v>
      </c>
      <c r="F196" s="2">
        <v>0</v>
      </c>
      <c r="G196" s="3">
        <f t="shared" si="0"/>
        <v>161.41320000000002</v>
      </c>
      <c r="H196" s="3">
        <f t="shared" si="1"/>
        <v>0.12000000000000455</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34551.18</v>
      </c>
      <c r="D197" s="2">
        <f>'PR-RAS'!E201</f>
        <v>41044.119999999995</v>
      </c>
      <c r="E197" s="2">
        <v>0</v>
      </c>
      <c r="F197" s="2">
        <v>0</v>
      </c>
      <c r="G197" s="3">
        <f t="shared" si="0"/>
        <v>22861.326319999996</v>
      </c>
      <c r="H197" s="3">
        <f t="shared" si="1"/>
        <v>0.29999999999563443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3096.15</v>
      </c>
      <c r="D198" s="2">
        <f>'PR-RAS'!E202</f>
        <v>2838.0699999999997</v>
      </c>
      <c r="E198" s="2">
        <v>0</v>
      </c>
      <c r="F198" s="2">
        <v>0</v>
      </c>
      <c r="G198" s="3">
        <f t="shared" si="0"/>
        <v>1728.14113</v>
      </c>
      <c r="H198" s="3">
        <f t="shared" si="1"/>
        <v>0.21999999999979991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3096.15</v>
      </c>
      <c r="D212" s="2">
        <f>'PR-RAS'!E216</f>
        <v>2838.0699999999997</v>
      </c>
      <c r="E212" s="2">
        <v>0</v>
      </c>
      <c r="F212" s="2">
        <v>0</v>
      </c>
      <c r="G212" s="3">
        <f t="shared" si="0"/>
        <v>1850.9531899999997</v>
      </c>
      <c r="H212" s="3">
        <f t="shared" si="1"/>
        <v>0.21999999999979991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2539.19</v>
      </c>
      <c r="D213" s="2">
        <f>'PR-RAS'!E217</f>
        <v>2367.89</v>
      </c>
      <c r="E213" s="2">
        <v>0</v>
      </c>
      <c r="F213" s="2">
        <v>0</v>
      </c>
      <c r="G213" s="3">
        <f t="shared" si="0"/>
        <v>1542.2936399999999</v>
      </c>
      <c r="H213" s="3">
        <f t="shared" si="1"/>
        <v>0.3000000000001819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0.02</v>
      </c>
      <c r="E215" s="2">
        <v>0</v>
      </c>
      <c r="F215" s="2">
        <v>0</v>
      </c>
      <c r="G215" s="3">
        <f t="shared" si="0"/>
        <v>8.5599999999999999E-3</v>
      </c>
      <c r="H215" s="3">
        <f t="shared" si="1"/>
        <v>0.02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556.96</v>
      </c>
      <c r="D216" s="2">
        <f>'PR-RAS'!E220</f>
        <v>470.16</v>
      </c>
      <c r="E216" s="2">
        <v>0</v>
      </c>
      <c r="F216" s="2">
        <v>0</v>
      </c>
      <c r="G216" s="3">
        <f t="shared" si="0"/>
        <v>321.91520000000003</v>
      </c>
      <c r="H216" s="3">
        <f t="shared" si="1"/>
        <v>0.19999999999998863</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2680</v>
      </c>
      <c r="D217" s="2">
        <f>'PR-RAS'!E221</f>
        <v>7200</v>
      </c>
      <c r="E217" s="2">
        <v>0</v>
      </c>
      <c r="F217" s="2">
        <v>0</v>
      </c>
      <c r="G217" s="3">
        <f t="shared" si="0"/>
        <v>3689.2799999999997</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7200</v>
      </c>
      <c r="E218" s="2">
        <v>0</v>
      </c>
      <c r="F218" s="2">
        <v>0</v>
      </c>
      <c r="G218" s="3">
        <f t="shared" si="0"/>
        <v>3124.8</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7200</v>
      </c>
      <c r="E220" s="2">
        <v>0</v>
      </c>
      <c r="F220" s="2">
        <v>0</v>
      </c>
      <c r="G220" s="3">
        <f t="shared" si="0"/>
        <v>3153.6</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2680</v>
      </c>
      <c r="D221" s="2">
        <f>'PR-RAS'!E225</f>
        <v>0</v>
      </c>
      <c r="E221" s="2">
        <v>0</v>
      </c>
      <c r="F221" s="2">
        <v>0</v>
      </c>
      <c r="G221" s="3">
        <f t="shared" si="0"/>
        <v>589.6</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2680</v>
      </c>
      <c r="D224" s="2">
        <f>'PR-RAS'!E228</f>
        <v>0</v>
      </c>
      <c r="E224" s="2">
        <v>0</v>
      </c>
      <c r="F224" s="2">
        <v>0</v>
      </c>
      <c r="G224" s="3">
        <f t="shared" si="0"/>
        <v>597.64</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130396.05</v>
      </c>
      <c r="D258" s="2">
        <f>'PR-RAS'!E262</f>
        <v>196255.13999999998</v>
      </c>
      <c r="E258" s="2">
        <v>0</v>
      </c>
      <c r="F258" s="2">
        <v>0</v>
      </c>
      <c r="G258" s="3">
        <f t="shared" si="0"/>
        <v>134386.92681</v>
      </c>
      <c r="H258" s="3">
        <f t="shared" si="1"/>
        <v>0.18999999998777639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130396.05</v>
      </c>
      <c r="D265" s="2">
        <f>'PR-RAS'!E269</f>
        <v>196255.13999999998</v>
      </c>
      <c r="E265" s="2">
        <v>0</v>
      </c>
      <c r="F265" s="2">
        <v>0</v>
      </c>
      <c r="G265" s="3">
        <f t="shared" si="0"/>
        <v>138047.27111999999</v>
      </c>
      <c r="H265" s="3">
        <f t="shared" si="1"/>
        <v>0.18999999998777639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117689.85</v>
      </c>
      <c r="D266" s="2">
        <f>'PR-RAS'!E270</f>
        <v>182833.61</v>
      </c>
      <c r="E266" s="2">
        <v>0</v>
      </c>
      <c r="F266" s="2">
        <v>0</v>
      </c>
      <c r="G266" s="3">
        <f t="shared" si="0"/>
        <v>128089.62354999999</v>
      </c>
      <c r="H266" s="3">
        <f t="shared" si="1"/>
        <v>0.54000000000814907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12706.2</v>
      </c>
      <c r="D267" s="2">
        <f>'PR-RAS'!E271</f>
        <v>13421.53</v>
      </c>
      <c r="E267" s="2">
        <v>0</v>
      </c>
      <c r="F267" s="2">
        <v>0</v>
      </c>
      <c r="G267" s="3">
        <f t="shared" si="0"/>
        <v>10520.103160000001</v>
      </c>
      <c r="H267" s="3">
        <f t="shared" si="1"/>
        <v>0.67000000000007276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163364.21999999997</v>
      </c>
      <c r="D269" s="2">
        <f>'PR-RAS'!E273</f>
        <v>510529.63</v>
      </c>
      <c r="E269" s="2">
        <v>0</v>
      </c>
      <c r="F269" s="2">
        <v>0</v>
      </c>
      <c r="G269" s="3">
        <f t="shared" si="0"/>
        <v>317425.49264000001</v>
      </c>
      <c r="H269" s="3">
        <f t="shared" si="1"/>
        <v>0.58999999996740371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130074.58</v>
      </c>
      <c r="D270" s="2">
        <f>'PR-RAS'!E274</f>
        <v>177646.96</v>
      </c>
      <c r="E270" s="2">
        <v>0</v>
      </c>
      <c r="F270" s="2">
        <v>0</v>
      </c>
      <c r="G270" s="3">
        <f t="shared" si="0"/>
        <v>130564.12650000001</v>
      </c>
      <c r="H270" s="3">
        <f t="shared" si="1"/>
        <v>0.46000000000640284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130074.58</v>
      </c>
      <c r="D271" s="2">
        <f>'PR-RAS'!E275</f>
        <v>177646.96</v>
      </c>
      <c r="E271" s="2">
        <v>0</v>
      </c>
      <c r="F271" s="2">
        <v>0</v>
      </c>
      <c r="G271" s="3">
        <f t="shared" si="0"/>
        <v>131049.49500000001</v>
      </c>
      <c r="H271" s="3">
        <f t="shared" si="1"/>
        <v>0.46000000000640284</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11795.66</v>
      </c>
      <c r="D274" s="2">
        <f>'PR-RAS'!E278</f>
        <v>13289.92</v>
      </c>
      <c r="E274" s="2">
        <v>0</v>
      </c>
      <c r="F274" s="2">
        <v>0</v>
      </c>
      <c r="G274" s="3">
        <f t="shared" si="0"/>
        <v>10476.511500000001</v>
      </c>
      <c r="H274" s="3">
        <f t="shared" si="1"/>
        <v>0.42000000000007276</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11795.66</v>
      </c>
      <c r="D275" s="2">
        <f>'PR-RAS'!E279</f>
        <v>13289.92</v>
      </c>
      <c r="E275" s="2">
        <v>0</v>
      </c>
      <c r="F275" s="2">
        <v>0</v>
      </c>
      <c r="G275" s="3">
        <f t="shared" ref="G275:G528" si="12">(B275/1000)*(C275*1+D275*2)</f>
        <v>10514.887000000001</v>
      </c>
      <c r="H275" s="3">
        <f t="shared" ref="H275:H528" si="13">ABS(C275-ROUND(C275,0))+ABS(D275-ROUND(D275,0))</f>
        <v>0.42000000000007276</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3381.46</v>
      </c>
      <c r="D279" s="2">
        <f>'PR-RAS'!E283</f>
        <v>12667.91</v>
      </c>
      <c r="E279" s="2">
        <v>0</v>
      </c>
      <c r="F279" s="2">
        <v>0</v>
      </c>
      <c r="G279" s="3">
        <f t="shared" si="12"/>
        <v>7983.4038399999999</v>
      </c>
      <c r="H279" s="3">
        <f t="shared" si="13"/>
        <v>0.5500000000001819</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9264.69</v>
      </c>
      <c r="E280" s="2">
        <v>0</v>
      </c>
      <c r="F280" s="2">
        <v>0</v>
      </c>
      <c r="G280" s="3">
        <f t="shared" si="12"/>
        <v>5169.6970200000005</v>
      </c>
      <c r="H280" s="3">
        <f t="shared" si="13"/>
        <v>0.30999999999949068</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3381.46</v>
      </c>
      <c r="D281" s="2">
        <f>'PR-RAS'!E285</f>
        <v>3403.22</v>
      </c>
      <c r="E281" s="2">
        <v>0</v>
      </c>
      <c r="F281" s="2">
        <v>0</v>
      </c>
      <c r="G281" s="3">
        <f t="shared" si="12"/>
        <v>2852.6120000000001</v>
      </c>
      <c r="H281" s="3">
        <f t="shared" si="13"/>
        <v>0.67999999999983629</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18112.52</v>
      </c>
      <c r="D285" s="2">
        <f>'PR-RAS'!E289</f>
        <v>306924.84000000003</v>
      </c>
      <c r="E285" s="2">
        <v>0</v>
      </c>
      <c r="F285" s="2">
        <v>0</v>
      </c>
      <c r="G285" s="3">
        <f t="shared" si="12"/>
        <v>179477.2648</v>
      </c>
      <c r="H285" s="3">
        <f t="shared" si="13"/>
        <v>0.63999999997395207</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18112.52</v>
      </c>
      <c r="D286" s="2">
        <f>'PR-RAS'!E290</f>
        <v>306924.84000000003</v>
      </c>
      <c r="E286" s="2">
        <v>0</v>
      </c>
      <c r="F286" s="2">
        <v>0</v>
      </c>
      <c r="G286" s="3">
        <f t="shared" si="12"/>
        <v>180109.22700000001</v>
      </c>
      <c r="H286" s="3">
        <f t="shared" si="13"/>
        <v>0.63999999997395207</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1282517.6100000001</v>
      </c>
      <c r="D295" s="2">
        <f>'PR-RAS'!E299</f>
        <v>1976608.4499999997</v>
      </c>
      <c r="E295" s="2">
        <v>0</v>
      </c>
      <c r="F295" s="2">
        <v>0</v>
      </c>
      <c r="G295" s="3">
        <f t="shared" si="12"/>
        <v>1539305.9459399998</v>
      </c>
      <c r="H295" s="3">
        <f t="shared" si="13"/>
        <v>0.83999999961815774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1227009.7300000007</v>
      </c>
      <c r="D296" s="2">
        <f>'PR-RAS'!E300</f>
        <v>923200.71</v>
      </c>
      <c r="E296" s="2">
        <v>0</v>
      </c>
      <c r="F296" s="2">
        <v>0</v>
      </c>
      <c r="G296" s="3">
        <f t="shared" si="12"/>
        <v>906656.28925000003</v>
      </c>
      <c r="H296" s="3">
        <f t="shared" si="13"/>
        <v>0.55999999935738742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2989271.33</v>
      </c>
      <c r="D298" s="2">
        <f>'PR-RAS'!E302</f>
        <v>4216281.0599999996</v>
      </c>
      <c r="E298" s="2">
        <v>0</v>
      </c>
      <c r="F298" s="2">
        <v>0</v>
      </c>
      <c r="G298" s="3">
        <f t="shared" si="12"/>
        <v>3392284.5346499998</v>
      </c>
      <c r="H298" s="3">
        <f t="shared" si="13"/>
        <v>0.38999999966472387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35155.86</v>
      </c>
      <c r="D300" s="2">
        <f>'PR-RAS'!E304</f>
        <v>113660.75</v>
      </c>
      <c r="E300" s="2">
        <v>0</v>
      </c>
      <c r="F300" s="2">
        <v>0</v>
      </c>
      <c r="G300" s="3">
        <f t="shared" si="12"/>
        <v>78480.730639999994</v>
      </c>
      <c r="H300" s="3">
        <f t="shared" si="13"/>
        <v>0.38999999999941792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15407</v>
      </c>
      <c r="D301" s="2">
        <f>'PR-RAS'!E305</f>
        <v>20094.64</v>
      </c>
      <c r="E301" s="2">
        <v>0</v>
      </c>
      <c r="F301" s="2">
        <v>0</v>
      </c>
      <c r="G301" s="3">
        <f t="shared" si="12"/>
        <v>16678.883999999998</v>
      </c>
      <c r="H301" s="3">
        <f t="shared" si="13"/>
        <v>0.36000000000058208</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766436.79999999993</v>
      </c>
      <c r="D355" s="2">
        <f>'PR-RAS'!E360</f>
        <v>497910.45999999996</v>
      </c>
      <c r="E355" s="2">
        <v>0</v>
      </c>
      <c r="F355" s="2">
        <v>0</v>
      </c>
      <c r="G355" s="3">
        <f t="shared" si="12"/>
        <v>623839.23287999991</v>
      </c>
      <c r="H355" s="3">
        <f t="shared" si="13"/>
        <v>0.66000000003259629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645163.02999999991</v>
      </c>
      <c r="D368" s="2">
        <f>'PR-RAS'!E373</f>
        <v>416009.05</v>
      </c>
      <c r="E368" s="2">
        <v>0</v>
      </c>
      <c r="F368" s="2">
        <v>0</v>
      </c>
      <c r="G368" s="3">
        <f t="shared" si="12"/>
        <v>542125.47470999998</v>
      </c>
      <c r="H368" s="3">
        <f t="shared" si="13"/>
        <v>7.9999999899882823E-2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645163.02999999991</v>
      </c>
      <c r="D369" s="2">
        <f>'PR-RAS'!E374</f>
        <v>393539.5</v>
      </c>
      <c r="E369" s="2">
        <v>0</v>
      </c>
      <c r="F369" s="2">
        <v>0</v>
      </c>
      <c r="G369" s="3">
        <f t="shared" si="12"/>
        <v>527065.06703999988</v>
      </c>
      <c r="H369" s="3">
        <f t="shared" si="13"/>
        <v>0.52999999991152436</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112616.45</v>
      </c>
      <c r="D372" s="2">
        <f>'PR-RAS'!E377</f>
        <v>230520</v>
      </c>
      <c r="E372" s="2">
        <v>0</v>
      </c>
      <c r="F372" s="2">
        <v>0</v>
      </c>
      <c r="G372" s="3">
        <f t="shared" si="12"/>
        <v>212826.54294999997</v>
      </c>
      <c r="H372" s="3">
        <f t="shared" si="13"/>
        <v>0.44999999999708962</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532546.57999999996</v>
      </c>
      <c r="D373" s="2">
        <f>'PR-RAS'!E378</f>
        <v>163019.5</v>
      </c>
      <c r="E373" s="2">
        <v>0</v>
      </c>
      <c r="F373" s="2">
        <v>0</v>
      </c>
      <c r="G373" s="3">
        <f t="shared" si="12"/>
        <v>319393.83575999999</v>
      </c>
      <c r="H373" s="3">
        <f t="shared" si="13"/>
        <v>0.92000000004190952</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22469.55</v>
      </c>
      <c r="E374" s="2">
        <v>0</v>
      </c>
      <c r="F374" s="2">
        <v>0</v>
      </c>
      <c r="G374" s="3">
        <f t="shared" si="12"/>
        <v>16762.284299999999</v>
      </c>
      <c r="H374" s="3">
        <f t="shared" si="13"/>
        <v>0.4500000000007276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3105.93</v>
      </c>
      <c r="E375" s="2">
        <v>0</v>
      </c>
      <c r="F375" s="2">
        <v>0</v>
      </c>
      <c r="G375" s="3">
        <f t="shared" si="12"/>
        <v>2323.2356399999999</v>
      </c>
      <c r="H375" s="3">
        <f t="shared" si="13"/>
        <v>7.0000000000163709E-2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3875.62</v>
      </c>
      <c r="E376" s="2">
        <v>0</v>
      </c>
      <c r="F376" s="2">
        <v>0</v>
      </c>
      <c r="G376" s="3">
        <f t="shared" si="12"/>
        <v>2906.7150000000001</v>
      </c>
      <c r="H376" s="3">
        <f t="shared" si="13"/>
        <v>0.38000000000010914</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15488</v>
      </c>
      <c r="E381" s="2">
        <v>0</v>
      </c>
      <c r="F381" s="2">
        <v>0</v>
      </c>
      <c r="G381" s="3">
        <f t="shared" si="12"/>
        <v>11770.880000000001</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121273.77</v>
      </c>
      <c r="D407" s="2">
        <f>'PR-RAS'!E412</f>
        <v>81901.41</v>
      </c>
      <c r="E407" s="2">
        <v>0</v>
      </c>
      <c r="F407" s="2">
        <v>0</v>
      </c>
      <c r="G407" s="3">
        <f t="shared" si="12"/>
        <v>115741.09554000002</v>
      </c>
      <c r="H407" s="3">
        <f t="shared" si="13"/>
        <v>0.63999999999941792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86100.71</v>
      </c>
      <c r="D408" s="2">
        <f>'PR-RAS'!E413</f>
        <v>63008.89</v>
      </c>
      <c r="E408" s="2">
        <v>0</v>
      </c>
      <c r="F408" s="2">
        <v>0</v>
      </c>
      <c r="G408" s="3">
        <f t="shared" si="12"/>
        <v>86332.225429999991</v>
      </c>
      <c r="H408" s="3">
        <f t="shared" si="13"/>
        <v>0.39999999999417923</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35173.06</v>
      </c>
      <c r="D411" s="2">
        <f>'PR-RAS'!E416</f>
        <v>18892.52</v>
      </c>
      <c r="E411" s="2">
        <v>0</v>
      </c>
      <c r="F411" s="2">
        <v>0</v>
      </c>
      <c r="G411" s="3">
        <f t="shared" si="12"/>
        <v>29912.821</v>
      </c>
      <c r="H411" s="3">
        <f t="shared" si="13"/>
        <v>0.53999999999723514</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766436.79999999993</v>
      </c>
      <c r="D413" s="2">
        <f>'PR-RAS'!E418</f>
        <v>497910.45999999996</v>
      </c>
      <c r="E413" s="2">
        <v>0</v>
      </c>
      <c r="F413" s="2">
        <v>0</v>
      </c>
      <c r="G413" s="3">
        <f t="shared" si="12"/>
        <v>726050.1806399998</v>
      </c>
      <c r="H413" s="3">
        <f t="shared" si="13"/>
        <v>0.66000000003259629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2053469.41</v>
      </c>
      <c r="D415" s="2">
        <f>'PR-RAS'!E420</f>
        <v>2819906.21</v>
      </c>
      <c r="E415" s="2">
        <v>0</v>
      </c>
      <c r="F415" s="2">
        <v>0</v>
      </c>
      <c r="G415" s="3">
        <f t="shared" si="12"/>
        <v>3185018.6776199997</v>
      </c>
      <c r="H415" s="3">
        <f t="shared" si="13"/>
        <v>0.61999999987892807</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2509527.3400000008</v>
      </c>
      <c r="D417" s="2">
        <f>'PR-RAS'!E422</f>
        <v>2899809.1599999997</v>
      </c>
      <c r="E417" s="2">
        <v>0</v>
      </c>
      <c r="F417" s="2">
        <v>0</v>
      </c>
      <c r="G417" s="3">
        <f t="shared" si="12"/>
        <v>3456604.5945600001</v>
      </c>
      <c r="H417" s="3">
        <f t="shared" si="13"/>
        <v>0.50000000046566129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2048954.4100000001</v>
      </c>
      <c r="D418" s="2">
        <f>'PR-RAS'!E423</f>
        <v>2474518.9099999997</v>
      </c>
      <c r="E418" s="2">
        <v>0</v>
      </c>
      <c r="F418" s="2">
        <v>0</v>
      </c>
      <c r="G418" s="3">
        <f t="shared" si="12"/>
        <v>2918162.7599099996</v>
      </c>
      <c r="H418" s="3">
        <f t="shared" si="13"/>
        <v>0.50000000046566129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460572.93000000063</v>
      </c>
      <c r="D419" s="2">
        <f>'PR-RAS'!E424</f>
        <v>425290.25</v>
      </c>
      <c r="E419" s="2">
        <v>0</v>
      </c>
      <c r="F419" s="2">
        <v>0</v>
      </c>
      <c r="G419" s="3">
        <f t="shared" si="12"/>
        <v>548062.13374000019</v>
      </c>
      <c r="H419" s="3">
        <f t="shared" si="13"/>
        <v>0.31999999936670065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935801.92000000016</v>
      </c>
      <c r="D421" s="2">
        <f>'PR-RAS'!E426</f>
        <v>1396374.8499999996</v>
      </c>
      <c r="E421" s="2">
        <v>0</v>
      </c>
      <c r="F421" s="2">
        <v>0</v>
      </c>
      <c r="G421" s="3">
        <f t="shared" si="12"/>
        <v>1565991.6803999995</v>
      </c>
      <c r="H421" s="3">
        <f t="shared" si="13"/>
        <v>0.23000000021420419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35155.86</v>
      </c>
      <c r="D423" s="2">
        <f>'PR-RAS'!E428</f>
        <v>113660.75</v>
      </c>
      <c r="E423" s="2">
        <v>0</v>
      </c>
      <c r="F423" s="2">
        <v>0</v>
      </c>
      <c r="G423" s="3">
        <f t="shared" si="12"/>
        <v>110765.44591999998</v>
      </c>
      <c r="H423" s="3">
        <f t="shared" si="13"/>
        <v>0.38999999999941792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26199.279999999999</v>
      </c>
      <c r="D529" s="2">
        <f>'PR-RAS'!E535</f>
        <v>0</v>
      </c>
      <c r="E529" s="2">
        <v>0</v>
      </c>
      <c r="F529" s="2">
        <v>0</v>
      </c>
      <c r="G529" s="3">
        <f t="shared" ref="G529:G836" si="14">(B529/1000)*(C529*1+D529*2)</f>
        <v>13833.21984</v>
      </c>
      <c r="H529" s="3">
        <f t="shared" ref="H529:H836" si="15">ABS(C529-ROUND(C529,0))+ABS(D529-ROUND(D529,0))</f>
        <v>0.27999999999883585</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26199.279999999999</v>
      </c>
      <c r="D591" s="2">
        <f>'PR-RAS'!E597</f>
        <v>0</v>
      </c>
      <c r="E591" s="2">
        <v>0</v>
      </c>
      <c r="F591" s="2">
        <v>0</v>
      </c>
      <c r="G591" s="3">
        <f t="shared" si="14"/>
        <v>15457.575199999999</v>
      </c>
      <c r="H591" s="3">
        <f t="shared" si="15"/>
        <v>0.27999999999883585</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26199.279999999999</v>
      </c>
      <c r="D615" s="2">
        <f>'PR-RAS'!E621</f>
        <v>0</v>
      </c>
      <c r="E615" s="2">
        <v>0</v>
      </c>
      <c r="F615" s="2">
        <v>0</v>
      </c>
      <c r="G615" s="3">
        <f t="shared" si="14"/>
        <v>16086.357919999999</v>
      </c>
      <c r="H615" s="3">
        <f t="shared" si="15"/>
        <v>0.27999999999883585</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26199.279999999999</v>
      </c>
      <c r="D616" s="2">
        <f>'PR-RAS'!E622</f>
        <v>0</v>
      </c>
      <c r="E616" s="2">
        <v>0</v>
      </c>
      <c r="F616" s="2">
        <v>0</v>
      </c>
      <c r="G616" s="3">
        <f t="shared" si="14"/>
        <v>16112.557199999999</v>
      </c>
      <c r="H616" s="3">
        <f t="shared" si="15"/>
        <v>0.27999999999883585</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26199.279999999999</v>
      </c>
      <c r="D634" s="2">
        <f>'PR-RAS'!E640</f>
        <v>0</v>
      </c>
      <c r="E634" s="2">
        <v>0</v>
      </c>
      <c r="F634" s="2">
        <v>0</v>
      </c>
      <c r="G634" s="3">
        <f t="shared" si="14"/>
        <v>16584.144239999998</v>
      </c>
      <c r="H634" s="3">
        <f t="shared" si="15"/>
        <v>0.27999999999883585</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13272.27</v>
      </c>
      <c r="D636" s="2">
        <f>'PR-RAS'!E642</f>
        <v>39471.550000000003</v>
      </c>
      <c r="E636" s="2">
        <v>0</v>
      </c>
      <c r="F636" s="2">
        <v>0</v>
      </c>
      <c r="G636" s="3">
        <f t="shared" si="14"/>
        <v>58556.759950000007</v>
      </c>
      <c r="H636" s="3">
        <f t="shared" si="15"/>
        <v>0.71999999999752617</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2509527.3400000008</v>
      </c>
      <c r="D637" s="2">
        <f>'PR-RAS'!E643</f>
        <v>2899809.1599999997</v>
      </c>
      <c r="E637" s="2">
        <v>0</v>
      </c>
      <c r="F637" s="2">
        <v>0</v>
      </c>
      <c r="G637" s="3">
        <f t="shared" si="14"/>
        <v>5284616.6397600006</v>
      </c>
      <c r="H637" s="3">
        <f t="shared" si="15"/>
        <v>0.50000000046566129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2075153.6900000002</v>
      </c>
      <c r="D638" s="2">
        <f>'PR-RAS'!E644</f>
        <v>2474518.9099999997</v>
      </c>
      <c r="E638" s="2">
        <v>0</v>
      </c>
      <c r="F638" s="2">
        <v>0</v>
      </c>
      <c r="G638" s="3">
        <f t="shared" si="14"/>
        <v>4474409.99187</v>
      </c>
      <c r="H638" s="3">
        <f t="shared" si="15"/>
        <v>0.40000000013969839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434373.65000000061</v>
      </c>
      <c r="D639" s="2">
        <f>'PR-RAS'!E645</f>
        <v>425290.25</v>
      </c>
      <c r="E639" s="2">
        <v>0</v>
      </c>
      <c r="F639" s="2">
        <v>0</v>
      </c>
      <c r="G639" s="3">
        <f t="shared" si="14"/>
        <v>819800.74770000041</v>
      </c>
      <c r="H639" s="3">
        <f t="shared" si="15"/>
        <v>0.59999999939464033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922529.65000000014</v>
      </c>
      <c r="D641" s="2">
        <f>'PR-RAS'!E647</f>
        <v>1356903.2999999996</v>
      </c>
      <c r="E641" s="2">
        <v>0</v>
      </c>
      <c r="F641" s="2">
        <v>0</v>
      </c>
      <c r="G641" s="3">
        <f t="shared" si="14"/>
        <v>2327255.1999999993</v>
      </c>
      <c r="H641" s="3">
        <f t="shared" si="15"/>
        <v>0.64999999944120646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1356903.3000000007</v>
      </c>
      <c r="D643" s="2">
        <f>'PR-RAS'!E649</f>
        <v>1782193.5499999996</v>
      </c>
      <c r="E643" s="2">
        <v>0</v>
      </c>
      <c r="F643" s="2">
        <v>0</v>
      </c>
      <c r="G643" s="3">
        <f t="shared" si="14"/>
        <v>3159468.4368000003</v>
      </c>
      <c r="H643" s="3">
        <f t="shared" si="15"/>
        <v>0.75000000116415322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151.16</v>
      </c>
      <c r="D645" s="2">
        <f>'PR-RAS'!E651</f>
        <v>1176.8499999999999</v>
      </c>
      <c r="E645" s="2">
        <v>0</v>
      </c>
      <c r="F645" s="2">
        <v>0</v>
      </c>
      <c r="G645" s="3">
        <f t="shared" si="14"/>
        <v>1613.1298399999998</v>
      </c>
      <c r="H645" s="3">
        <f t="shared" si="15"/>
        <v>0.31000000000008754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942296.43</v>
      </c>
      <c r="D646" s="2">
        <f>'PR-RAS'!E653</f>
        <v>1380549.8800000001</v>
      </c>
      <c r="E646" s="2">
        <v>0</v>
      </c>
      <c r="F646" s="2">
        <v>0</v>
      </c>
      <c r="G646" s="3">
        <f t="shared" si="14"/>
        <v>2388690.5425500004</v>
      </c>
      <c r="H646" s="3">
        <f t="shared" si="15"/>
        <v>0.54999999993015081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2911286.92</v>
      </c>
      <c r="D647" s="2">
        <f>'PR-RAS'!E654</f>
        <v>3398494.55</v>
      </c>
      <c r="E647" s="2">
        <v>0</v>
      </c>
      <c r="F647" s="2">
        <v>0</v>
      </c>
      <c r="G647" s="3">
        <f t="shared" si="14"/>
        <v>6271546.3089199997</v>
      </c>
      <c r="H647" s="3">
        <f t="shared" si="15"/>
        <v>0.53000000026077032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2473033.4700000002</v>
      </c>
      <c r="D648" s="2">
        <f>'PR-RAS'!E655</f>
        <v>2716028.95</v>
      </c>
      <c r="E648" s="2">
        <v>0</v>
      </c>
      <c r="F648" s="2">
        <v>0</v>
      </c>
      <c r="G648" s="3">
        <f t="shared" si="14"/>
        <v>5114594.116390001</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1380549.88</v>
      </c>
      <c r="D649" s="2">
        <f>'PR-RAS'!E656</f>
        <v>2063015.4799999995</v>
      </c>
      <c r="E649" s="2">
        <v>0</v>
      </c>
      <c r="F649" s="2">
        <v>0</v>
      </c>
      <c r="G649" s="3">
        <f t="shared" si="14"/>
        <v>3568264.3843199993</v>
      </c>
      <c r="H649" s="3">
        <f t="shared" si="15"/>
        <v>0.59999999962747097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4</v>
      </c>
      <c r="D650" s="2">
        <f>'PR-RAS'!E657</f>
        <v>4</v>
      </c>
      <c r="E650" s="2">
        <v>0</v>
      </c>
      <c r="F650" s="2">
        <v>0</v>
      </c>
      <c r="G650" s="3">
        <f t="shared" si="14"/>
        <v>7.7880000000000003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14</v>
      </c>
      <c r="D651" s="2">
        <f>'PR-RAS'!E658</f>
        <v>16</v>
      </c>
      <c r="E651" s="2">
        <v>0</v>
      </c>
      <c r="F651" s="2">
        <v>0</v>
      </c>
      <c r="G651" s="3">
        <f t="shared" si="14"/>
        <v>29.900000000000002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15</v>
      </c>
      <c r="D653" s="2">
        <f>'PR-RAS'!E660</f>
        <v>16</v>
      </c>
      <c r="E653" s="2">
        <v>0</v>
      </c>
      <c r="F653" s="2">
        <v>0</v>
      </c>
      <c r="G653" s="3">
        <f t="shared" si="14"/>
        <v>30.644000000000002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4175.8900000000003</v>
      </c>
      <c r="E656" s="2">
        <v>0</v>
      </c>
      <c r="F656" s="2">
        <v>0</v>
      </c>
      <c r="G656" s="3">
        <f t="shared" ref="G656:G657" si="16">(B656/1000)*(C656*1+D656*2)</f>
        <v>5470.4159000000009</v>
      </c>
      <c r="H656" s="3">
        <f t="shared" ref="H656:H657" si="17">ABS(C656-ROUND(C656,0))+ABS(D656-ROUND(D656,0))</f>
        <v>0.10999999999967258</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38708.85</v>
      </c>
      <c r="E657" s="2">
        <v>0</v>
      </c>
      <c r="F657" s="2">
        <v>0</v>
      </c>
      <c r="G657" s="3">
        <f t="shared" si="16"/>
        <v>50786.011200000001</v>
      </c>
      <c r="H657" s="3">
        <f t="shared" si="17"/>
        <v>0.15000000000145519</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92.03</v>
      </c>
      <c r="D660" s="2">
        <f>'PR-RAS'!E667</f>
        <v>0</v>
      </c>
      <c r="E660" s="2">
        <v>0</v>
      </c>
      <c r="F660" s="2">
        <v>0</v>
      </c>
      <c r="G660" s="3">
        <f t="shared" si="14"/>
        <v>60.647770000000001</v>
      </c>
      <c r="H660" s="3">
        <f t="shared" si="15"/>
        <v>3.0000000000001137E-2</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800917.27</v>
      </c>
      <c r="D662" s="2">
        <f>'PR-RAS'!E669</f>
        <v>801044.26</v>
      </c>
      <c r="E662" s="2">
        <v>0</v>
      </c>
      <c r="F662" s="2">
        <v>0</v>
      </c>
      <c r="G662" s="3">
        <f t="shared" si="14"/>
        <v>1588386.8271900001</v>
      </c>
      <c r="H662" s="3">
        <f t="shared" si="15"/>
        <v>0.53000000002793968</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22135</v>
      </c>
      <c r="D663" s="2">
        <f>'PR-RAS'!E670</f>
        <v>64772.91</v>
      </c>
      <c r="E663" s="2">
        <v>0</v>
      </c>
      <c r="F663" s="2">
        <v>0</v>
      </c>
      <c r="G663" s="3">
        <f t="shared" si="14"/>
        <v>100412.70284000001</v>
      </c>
      <c r="H663" s="3">
        <f t="shared" si="15"/>
        <v>8.999999999650754E-2</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68600</v>
      </c>
      <c r="D667" s="2">
        <f>'PR-RAS'!E674</f>
        <v>188887</v>
      </c>
      <c r="E667" s="2">
        <v>0</v>
      </c>
      <c r="F667" s="2">
        <v>0</v>
      </c>
      <c r="G667" s="3">
        <f t="shared" si="14"/>
        <v>297285.08400000003</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301211.84999999998</v>
      </c>
      <c r="D699" s="2">
        <f>'PR-RAS'!E706</f>
        <v>309956.42</v>
      </c>
      <c r="E699" s="2">
        <v>0</v>
      </c>
      <c r="F699" s="2">
        <v>0</v>
      </c>
      <c r="G699" s="3">
        <f t="shared" si="14"/>
        <v>642945.03361999989</v>
      </c>
      <c r="H699" s="3">
        <f t="shared" si="15"/>
        <v>0.57000000000698492</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15768.61</v>
      </c>
      <c r="E704" s="2">
        <v>0</v>
      </c>
      <c r="F704" s="2">
        <v>0</v>
      </c>
      <c r="G704" s="3">
        <f t="shared" ref="G704:G707" si="20">(B704/1000)*(C704*1+D704*2)</f>
        <v>22170.665659999999</v>
      </c>
      <c r="H704" s="3">
        <f t="shared" ref="H704:H707" si="21">ABS(C704-ROUND(C704,0))+ABS(D704-ROUND(D704,0))</f>
        <v>0.38999999999941792</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13176.4</v>
      </c>
      <c r="D727" s="2">
        <f>'PR-RAS'!E734</f>
        <v>15900.89</v>
      </c>
      <c r="E727" s="2">
        <v>0</v>
      </c>
      <c r="F727" s="2">
        <v>0</v>
      </c>
      <c r="G727" s="3">
        <f t="shared" si="14"/>
        <v>32654.15868</v>
      </c>
      <c r="H727" s="3">
        <f t="shared" si="15"/>
        <v>0.51000000000021828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1215.3</v>
      </c>
      <c r="D729" s="2">
        <f>'PR-RAS'!E736</f>
        <v>1330.26</v>
      </c>
      <c r="E729" s="2">
        <v>0</v>
      </c>
      <c r="F729" s="2">
        <v>0</v>
      </c>
      <c r="G729" s="3">
        <f t="shared" si="14"/>
        <v>2821.5969599999999</v>
      </c>
      <c r="H729" s="3">
        <f t="shared" si="15"/>
        <v>0.55999999999994543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35636.76</v>
      </c>
      <c r="D731" s="2">
        <f>'PR-RAS'!E738</f>
        <v>54961.090000000004</v>
      </c>
      <c r="E731" s="2">
        <v>0</v>
      </c>
      <c r="F731" s="2">
        <v>0</v>
      </c>
      <c r="G731" s="3">
        <f t="shared" si="14"/>
        <v>106258.02619999999</v>
      </c>
      <c r="H731" s="3">
        <f t="shared" si="15"/>
        <v>0.33000000000174623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26172.66</v>
      </c>
      <c r="D733" s="2">
        <f>'PR-RAS'!E740</f>
        <v>21592.45</v>
      </c>
      <c r="E733" s="2">
        <v>0</v>
      </c>
      <c r="F733" s="2">
        <v>0</v>
      </c>
      <c r="G733" s="3">
        <f t="shared" si="14"/>
        <v>50769.733919999999</v>
      </c>
      <c r="H733" s="3">
        <f t="shared" si="15"/>
        <v>0.79000000000087311</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5888.16</v>
      </c>
      <c r="D734" s="2">
        <f>'PR-RAS'!E741</f>
        <v>13081.09</v>
      </c>
      <c r="E734" s="2">
        <v>0</v>
      </c>
      <c r="F734" s="2">
        <v>0</v>
      </c>
      <c r="G734" s="3">
        <f t="shared" si="14"/>
        <v>23492.899219999999</v>
      </c>
      <c r="H734" s="3">
        <f t="shared" si="15"/>
        <v>0.25</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1267.71</v>
      </c>
      <c r="D735" s="2">
        <f>'PR-RAS'!E742</f>
        <v>1714.97</v>
      </c>
      <c r="E735" s="2">
        <v>0</v>
      </c>
      <c r="F735" s="2">
        <v>0</v>
      </c>
      <c r="G735" s="3">
        <f t="shared" si="14"/>
        <v>3448.0750999999996</v>
      </c>
      <c r="H735" s="3">
        <f t="shared" si="15"/>
        <v>0.31999999999993634</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2680</v>
      </c>
      <c r="D770" s="2">
        <f>'PR-RAS'!E777</f>
        <v>0</v>
      </c>
      <c r="E770" s="2">
        <v>0</v>
      </c>
      <c r="F770" s="2">
        <v>0</v>
      </c>
      <c r="G770" s="3">
        <f t="shared" si="14"/>
        <v>2060.92</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42379.85</v>
      </c>
      <c r="D836" s="2">
        <f>'PR-RAS'!E843</f>
        <v>40653.61</v>
      </c>
      <c r="E836" s="2">
        <v>0</v>
      </c>
      <c r="F836" s="2">
        <v>0</v>
      </c>
      <c r="G836" s="3">
        <f t="shared" si="14"/>
        <v>103278.70345</v>
      </c>
      <c r="H836" s="3">
        <f t="shared" si="15"/>
        <v>0.54000000000087311</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33340</v>
      </c>
      <c r="D839" s="2">
        <f>'PR-RAS'!E846</f>
        <v>40080</v>
      </c>
      <c r="E839" s="2">
        <v>0</v>
      </c>
      <c r="F839" s="2">
        <v>0</v>
      </c>
      <c r="G839" s="3">
        <f t="shared" si="34"/>
        <v>95113</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7400</v>
      </c>
      <c r="D841" s="2">
        <f>'PR-RAS'!E848</f>
        <v>16300</v>
      </c>
      <c r="E841" s="2">
        <v>0</v>
      </c>
      <c r="F841" s="2">
        <v>0</v>
      </c>
      <c r="G841" s="3">
        <f t="shared" si="34"/>
        <v>33600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34570</v>
      </c>
      <c r="D843" s="2">
        <f>'PR-RAS'!E850</f>
        <v>85800</v>
      </c>
      <c r="E843" s="2">
        <v>0</v>
      </c>
      <c r="F843" s="2">
        <v>0</v>
      </c>
      <c r="G843" s="3">
        <f t="shared" si="34"/>
        <v>173595.13999999998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10740.13</v>
      </c>
      <c r="D844" s="2">
        <f>'PR-RAS'!E851</f>
        <v>13421.53</v>
      </c>
      <c r="E844" s="2">
        <v>0</v>
      </c>
      <c r="F844" s="2">
        <v>0</v>
      </c>
      <c r="G844" s="3">
        <f t="shared" si="34"/>
        <v>31682.62917</v>
      </c>
      <c r="H844" s="3">
        <f t="shared" si="35"/>
        <v>0.59999999999854481</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1966.07</v>
      </c>
      <c r="D848" s="2">
        <f>'PR-RAS'!E855</f>
        <v>0</v>
      </c>
      <c r="E848" s="2">
        <v>0</v>
      </c>
      <c r="F848" s="2">
        <v>0</v>
      </c>
      <c r="G848" s="3">
        <f t="shared" si="34"/>
        <v>1665.2612899999999</v>
      </c>
      <c r="H848" s="3">
        <f t="shared" si="35"/>
        <v>6.9999999999936335E-2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18112.52</v>
      </c>
      <c r="D850" s="2">
        <f>'PR-RAS'!E857</f>
        <v>306924.84000000003</v>
      </c>
      <c r="E850" s="2">
        <v>0</v>
      </c>
      <c r="F850" s="2">
        <v>0</v>
      </c>
      <c r="G850" s="3">
        <f t="shared" si="34"/>
        <v>536535.90780000004</v>
      </c>
      <c r="H850" s="3">
        <f t="shared" si="35"/>
        <v>0.63999999997395207</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26199.279999999999</v>
      </c>
      <c r="D988" s="2">
        <f>'PR-RAS'!E995</f>
        <v>0</v>
      </c>
      <c r="E988" s="2">
        <v>0</v>
      </c>
      <c r="F988" s="2">
        <v>0</v>
      </c>
      <c r="G988" s="3">
        <f t="shared" si="34"/>
        <v>25858.68936</v>
      </c>
      <c r="H988" s="3">
        <f t="shared" si="35"/>
        <v>0.27999999999883585</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6210873.9999999991</v>
      </c>
      <c r="D1011" s="7">
        <f>BILANCA!E6</f>
        <v>7299248.0700000003</v>
      </c>
      <c r="E1011" s="7">
        <v>0</v>
      </c>
      <c r="F1011" s="7">
        <v>0</v>
      </c>
      <c r="G1011" s="8">
        <f t="shared" ref="G1011:G1306" si="38">B1011/1000*C1011+B1011/500*D1011</f>
        <v>20809.370139999999</v>
      </c>
      <c r="H1011" s="8">
        <f t="shared" si="35"/>
        <v>7.0000001229345798E-2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4481547.3399999989</v>
      </c>
      <c r="D1012" s="2">
        <f>BILANCA!E7</f>
        <v>4822631.91</v>
      </c>
      <c r="E1012" s="2">
        <v>0</v>
      </c>
      <c r="F1012" s="2">
        <v>0</v>
      </c>
      <c r="G1012" s="3">
        <f t="shared" si="38"/>
        <v>28253.622319999999</v>
      </c>
      <c r="H1012" s="3">
        <f t="shared" si="35"/>
        <v>0.4299999987706542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139737.92000000001</v>
      </c>
      <c r="D1013" s="2">
        <f>BILANCA!E8</f>
        <v>139737.92000000001</v>
      </c>
      <c r="E1013" s="2">
        <v>0</v>
      </c>
      <c r="F1013" s="2">
        <v>0</v>
      </c>
      <c r="G1013" s="3">
        <f t="shared" si="38"/>
        <v>1257.6412800000001</v>
      </c>
      <c r="H1013" s="3">
        <f t="shared" si="35"/>
        <v>0.15999999997438863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139737.92000000001</v>
      </c>
      <c r="D1014" s="2">
        <f>BILANCA!E9</f>
        <v>139737.92000000001</v>
      </c>
      <c r="E1014" s="2">
        <v>0</v>
      </c>
      <c r="F1014" s="2">
        <v>0</v>
      </c>
      <c r="G1014" s="3">
        <f t="shared" si="38"/>
        <v>1676.8550399999999</v>
      </c>
      <c r="H1014" s="3">
        <f t="shared" si="35"/>
        <v>0.15999999997438863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3820136.7299999995</v>
      </c>
      <c r="D1017" s="2">
        <f>BILANCA!E12</f>
        <v>4680712.3000000007</v>
      </c>
      <c r="E1017" s="2">
        <v>0</v>
      </c>
      <c r="F1017" s="2">
        <v>0</v>
      </c>
      <c r="G1017" s="3">
        <f t="shared" si="38"/>
        <v>92270.929310000007</v>
      </c>
      <c r="H1017" s="3">
        <f t="shared" si="35"/>
        <v>0.5700000012293458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3786823.2999999993</v>
      </c>
      <c r="D1018" s="2">
        <f>BILANCA!E13</f>
        <v>4641599.0500000007</v>
      </c>
      <c r="E1018" s="2">
        <v>0</v>
      </c>
      <c r="F1018" s="2">
        <v>0</v>
      </c>
      <c r="G1018" s="3">
        <f t="shared" si="38"/>
        <v>104560.17120000001</v>
      </c>
      <c r="H1018" s="3">
        <f t="shared" si="35"/>
        <v>0.35000000009313226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543623.63</v>
      </c>
      <c r="D1020" s="2">
        <f>BILANCA!E15</f>
        <v>1144031.76</v>
      </c>
      <c r="E1020" s="2">
        <v>0</v>
      </c>
      <c r="F1020" s="2">
        <v>0</v>
      </c>
      <c r="G1020" s="3">
        <f t="shared" si="38"/>
        <v>28316.871500000001</v>
      </c>
      <c r="H1020" s="3">
        <f t="shared" si="35"/>
        <v>0.60999999998603016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671360.81</v>
      </c>
      <c r="D1021" s="2">
        <f>BILANCA!E16</f>
        <v>901880.81</v>
      </c>
      <c r="E1021" s="2">
        <v>0</v>
      </c>
      <c r="F1021" s="2">
        <v>0</v>
      </c>
      <c r="G1021" s="3">
        <f t="shared" si="38"/>
        <v>27226.346730000001</v>
      </c>
      <c r="H1021" s="3">
        <f t="shared" si="35"/>
        <v>0.37999999988824129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3379610</v>
      </c>
      <c r="D1022" s="2">
        <f>BILANCA!E17</f>
        <v>3621205.87</v>
      </c>
      <c r="E1022" s="2">
        <v>0</v>
      </c>
      <c r="F1022" s="2">
        <v>0</v>
      </c>
      <c r="G1022" s="3">
        <f t="shared" si="38"/>
        <v>127464.26088000002</v>
      </c>
      <c r="H1022" s="3">
        <f t="shared" si="35"/>
        <v>0.12999999988824129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807771.14</v>
      </c>
      <c r="D1023" s="2">
        <f>BILANCA!E18</f>
        <v>1025519.39</v>
      </c>
      <c r="E1023" s="2">
        <v>0</v>
      </c>
      <c r="F1023" s="2">
        <v>0</v>
      </c>
      <c r="G1023" s="3">
        <f t="shared" si="38"/>
        <v>37164.528960000003</v>
      </c>
      <c r="H1023" s="3">
        <f t="shared" si="35"/>
        <v>0.53000000002793968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3979.2600000000093</v>
      </c>
      <c r="D1024" s="2">
        <f>BILANCA!E19</f>
        <v>12950.929999999993</v>
      </c>
      <c r="E1024" s="2">
        <v>0</v>
      </c>
      <c r="F1024" s="2">
        <v>0</v>
      </c>
      <c r="G1024" s="3">
        <f t="shared" si="38"/>
        <v>418.33567999999997</v>
      </c>
      <c r="H1024" s="3">
        <f t="shared" si="35"/>
        <v>0.33000000001629815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98129.44</v>
      </c>
      <c r="D1025" s="2">
        <f>BILANCA!E20</f>
        <v>102007.87</v>
      </c>
      <c r="E1025" s="2">
        <v>0</v>
      </c>
      <c r="F1025" s="2">
        <v>0</v>
      </c>
      <c r="G1025" s="3">
        <f t="shared" si="38"/>
        <v>4532.1776999999993</v>
      </c>
      <c r="H1025" s="3">
        <f t="shared" si="35"/>
        <v>0.57000000000698492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1231.49</v>
      </c>
      <c r="D1026" s="2">
        <f>BILANCA!E21</f>
        <v>5107.1099999999997</v>
      </c>
      <c r="E1026" s="2">
        <v>0</v>
      </c>
      <c r="F1026" s="2">
        <v>0</v>
      </c>
      <c r="G1026" s="3">
        <f t="shared" si="38"/>
        <v>183.13135999999997</v>
      </c>
      <c r="H1026" s="3">
        <f t="shared" si="35"/>
        <v>0.59999999999968168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17782</v>
      </c>
      <c r="D1027" s="2">
        <f>BILANCA!E22</f>
        <v>17782</v>
      </c>
      <c r="E1027" s="2">
        <v>0</v>
      </c>
      <c r="F1027" s="2">
        <v>0</v>
      </c>
      <c r="G1027" s="3">
        <f t="shared" si="38"/>
        <v>906.88200000000006</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2857.46</v>
      </c>
      <c r="D1028" s="2">
        <f>BILANCA!E23</f>
        <v>2857.46</v>
      </c>
      <c r="E1028" s="2">
        <v>0</v>
      </c>
      <c r="F1028" s="2">
        <v>0</v>
      </c>
      <c r="G1028" s="3">
        <f t="shared" si="38"/>
        <v>154.30283999999997</v>
      </c>
      <c r="H1028" s="3">
        <f t="shared" si="35"/>
        <v>0.92000000000007276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56160.6</v>
      </c>
      <c r="D1031" s="2">
        <f>BILANCA!E26</f>
        <v>70876.100000000006</v>
      </c>
      <c r="E1031" s="2">
        <v>0</v>
      </c>
      <c r="F1031" s="2">
        <v>0</v>
      </c>
      <c r="G1031" s="3">
        <f t="shared" si="38"/>
        <v>4156.1688000000004</v>
      </c>
      <c r="H1031" s="3">
        <f t="shared" si="35"/>
        <v>0.50000000000727596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172181.73</v>
      </c>
      <c r="D1033" s="2">
        <f>BILANCA!E28</f>
        <v>185679.61000000002</v>
      </c>
      <c r="E1033" s="2">
        <v>0</v>
      </c>
      <c r="F1033" s="2">
        <v>0</v>
      </c>
      <c r="G1033" s="3">
        <f t="shared" si="38"/>
        <v>12501.441850000001</v>
      </c>
      <c r="H1033" s="3">
        <f t="shared" si="35"/>
        <v>0.65999999997438863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23507.86</v>
      </c>
      <c r="D1034" s="2">
        <f>BILANCA!E29</f>
        <v>23507.86</v>
      </c>
      <c r="E1034" s="2">
        <v>0</v>
      </c>
      <c r="F1034" s="2">
        <v>0</v>
      </c>
      <c r="G1034" s="3">
        <f t="shared" si="38"/>
        <v>1692.5659200000002</v>
      </c>
      <c r="H1034" s="3">
        <f t="shared" si="35"/>
        <v>0.27999999999883585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23507.86</v>
      </c>
      <c r="D1035" s="2">
        <f>BILANCA!E30</f>
        <v>23507.86</v>
      </c>
      <c r="E1035" s="2">
        <v>0</v>
      </c>
      <c r="F1035" s="2">
        <v>0</v>
      </c>
      <c r="G1035" s="3">
        <f t="shared" si="38"/>
        <v>1763.0895</v>
      </c>
      <c r="H1035" s="3">
        <f t="shared" si="35"/>
        <v>0.27999999999883585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3981.6800000000003</v>
      </c>
      <c r="D1040" s="2">
        <f>BILANCA!E35</f>
        <v>2654.4500000000003</v>
      </c>
      <c r="E1040" s="2">
        <v>0</v>
      </c>
      <c r="F1040" s="2">
        <v>0</v>
      </c>
      <c r="G1040" s="3">
        <f t="shared" si="38"/>
        <v>278.7174</v>
      </c>
      <c r="H1040" s="3">
        <f t="shared" si="35"/>
        <v>0.76999999999998181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6636.14</v>
      </c>
      <c r="D1042" s="2">
        <f>BILANCA!E37</f>
        <v>6636.14</v>
      </c>
      <c r="E1042" s="2">
        <v>0</v>
      </c>
      <c r="F1042" s="2">
        <v>0</v>
      </c>
      <c r="G1042" s="3">
        <f t="shared" si="38"/>
        <v>637.06943999999999</v>
      </c>
      <c r="H1042" s="3">
        <f t="shared" si="35"/>
        <v>0.28000000000065484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2654.46</v>
      </c>
      <c r="D1045" s="2">
        <f>BILANCA!E40</f>
        <v>3981.69</v>
      </c>
      <c r="E1045" s="2">
        <v>0</v>
      </c>
      <c r="F1045" s="2">
        <v>0</v>
      </c>
      <c r="G1045" s="3">
        <f t="shared" si="38"/>
        <v>371.62440000000004</v>
      </c>
      <c r="H1045" s="3">
        <f t="shared" si="35"/>
        <v>0.76999999999998181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1844.6300000000047</v>
      </c>
      <c r="D1050" s="2">
        <f>BILANCA!E45</f>
        <v>1.0000000009313226E-2</v>
      </c>
      <c r="E1050" s="2">
        <v>0</v>
      </c>
      <c r="F1050" s="2">
        <v>0</v>
      </c>
      <c r="G1050" s="3">
        <f t="shared" si="38"/>
        <v>73.786000000000939</v>
      </c>
      <c r="H1050" s="3">
        <f t="shared" si="35"/>
        <v>0.38000000000465661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12410.56</v>
      </c>
      <c r="D1052" s="2">
        <f>BILANCA!E47</f>
        <v>12410.56</v>
      </c>
      <c r="E1052" s="2">
        <v>0</v>
      </c>
      <c r="F1052" s="2">
        <v>0</v>
      </c>
      <c r="G1052" s="3">
        <f t="shared" si="38"/>
        <v>1563.73056</v>
      </c>
      <c r="H1052" s="3">
        <f t="shared" si="35"/>
        <v>0.88000000000101863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48635.48</v>
      </c>
      <c r="D1053" s="2">
        <f>BILANCA!E48</f>
        <v>48635.48</v>
      </c>
      <c r="E1053" s="2">
        <v>0</v>
      </c>
      <c r="F1053" s="2">
        <v>0</v>
      </c>
      <c r="G1053" s="3">
        <f t="shared" si="38"/>
        <v>6273.9769200000001</v>
      </c>
      <c r="H1053" s="3">
        <f t="shared" si="35"/>
        <v>0.96000000000640284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63015.12</v>
      </c>
      <c r="D1054" s="2">
        <f>BILANCA!E49</f>
        <v>63015.12</v>
      </c>
      <c r="E1054" s="2">
        <v>0</v>
      </c>
      <c r="F1054" s="2">
        <v>0</v>
      </c>
      <c r="G1054" s="3">
        <f t="shared" si="38"/>
        <v>8317.9958399999996</v>
      </c>
      <c r="H1054" s="3">
        <f t="shared" si="35"/>
        <v>0.24000000000523869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122216.53</v>
      </c>
      <c r="D1055" s="2">
        <f>BILANCA!E50</f>
        <v>124061.15</v>
      </c>
      <c r="E1055" s="2">
        <v>0</v>
      </c>
      <c r="F1055" s="2">
        <v>0</v>
      </c>
      <c r="G1055" s="3">
        <f t="shared" si="38"/>
        <v>16665.247349999998</v>
      </c>
      <c r="H1055" s="3">
        <f t="shared" si="35"/>
        <v>0.61999999999534339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271.01000000000022</v>
      </c>
      <c r="D1057" s="2">
        <f>BILANCA!E52</f>
        <v>271.01000000000022</v>
      </c>
      <c r="E1057" s="2">
        <v>0</v>
      </c>
      <c r="F1057" s="2">
        <v>0</v>
      </c>
      <c r="G1057" s="3">
        <f t="shared" si="38"/>
        <v>38.212410000000034</v>
      </c>
      <c r="H1057" s="3">
        <f t="shared" si="35"/>
        <v>2.0000000000436557E-2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15254.69</v>
      </c>
      <c r="D1058" s="2">
        <f>BILANCA!E53</f>
        <v>0</v>
      </c>
      <c r="E1058" s="2">
        <v>0</v>
      </c>
      <c r="F1058" s="2">
        <v>0</v>
      </c>
      <c r="G1058" s="3">
        <f t="shared" si="38"/>
        <v>732.22512000000006</v>
      </c>
      <c r="H1058" s="3">
        <f t="shared" si="35"/>
        <v>0.30999999999949068</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271.01</v>
      </c>
      <c r="D1059" s="2">
        <f>BILANCA!E54</f>
        <v>15722.89</v>
      </c>
      <c r="E1059" s="2">
        <v>0</v>
      </c>
      <c r="F1059" s="2">
        <v>0</v>
      </c>
      <c r="G1059" s="3">
        <f t="shared" si="38"/>
        <v>1554.1227099999999</v>
      </c>
      <c r="H1059" s="3">
        <f t="shared" si="35"/>
        <v>0.12000000000057298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15254.69</v>
      </c>
      <c r="D1060" s="2">
        <f>BILANCA!E55</f>
        <v>15451.88</v>
      </c>
      <c r="E1060" s="2">
        <v>0</v>
      </c>
      <c r="F1060" s="2">
        <v>0</v>
      </c>
      <c r="G1060" s="3">
        <f t="shared" si="38"/>
        <v>2307.9225000000001</v>
      </c>
      <c r="H1060" s="3">
        <f t="shared" si="35"/>
        <v>0.43000000000029104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521401.68</v>
      </c>
      <c r="D1061" s="2">
        <f>BILANCA!E56</f>
        <v>1910.68</v>
      </c>
      <c r="E1061" s="2">
        <v>0</v>
      </c>
      <c r="F1061" s="2">
        <v>0</v>
      </c>
      <c r="G1061" s="3">
        <f t="shared" si="38"/>
        <v>26786.375039999999</v>
      </c>
      <c r="H1061" s="3">
        <f t="shared" si="35"/>
        <v>0.64000000000692125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521401.68</v>
      </c>
      <c r="D1062" s="2">
        <f>BILANCA!E57</f>
        <v>1910.68</v>
      </c>
      <c r="E1062" s="2">
        <v>0</v>
      </c>
      <c r="F1062" s="2">
        <v>0</v>
      </c>
      <c r="G1062" s="3">
        <f t="shared" si="38"/>
        <v>27311.598079999996</v>
      </c>
      <c r="H1062" s="3">
        <f t="shared" si="35"/>
        <v>0.64000000000692125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1729326.66</v>
      </c>
      <c r="D1074" s="2">
        <f>BILANCA!E69</f>
        <v>2476616.16</v>
      </c>
      <c r="E1074" s="2">
        <v>0</v>
      </c>
      <c r="F1074" s="2">
        <v>0</v>
      </c>
      <c r="G1074" s="3">
        <f t="shared" si="38"/>
        <v>427683.77471999999</v>
      </c>
      <c r="H1074" s="3">
        <f t="shared" si="35"/>
        <v>0.50000000023283064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1380549.8800000001</v>
      </c>
      <c r="D1075" s="2">
        <f>BILANCA!E70</f>
        <v>2063015.48</v>
      </c>
      <c r="E1075" s="2">
        <v>0</v>
      </c>
      <c r="F1075" s="2">
        <v>0</v>
      </c>
      <c r="G1075" s="3">
        <f t="shared" si="38"/>
        <v>357927.75459999999</v>
      </c>
      <c r="H1075" s="3">
        <f t="shared" si="35"/>
        <v>0.59999999986030161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1380510.05</v>
      </c>
      <c r="D1076" s="2">
        <f>BILANCA!E71</f>
        <v>2062925.59</v>
      </c>
      <c r="E1076" s="2">
        <v>0</v>
      </c>
      <c r="F1076" s="2">
        <v>0</v>
      </c>
      <c r="G1076" s="3">
        <f t="shared" si="38"/>
        <v>363419.84118000005</v>
      </c>
      <c r="H1076" s="3">
        <f t="shared" si="35"/>
        <v>0.4599999999627471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1380510.05</v>
      </c>
      <c r="D1078" s="2">
        <f>BILANCA!E73</f>
        <v>2062925.59</v>
      </c>
      <c r="E1078" s="2">
        <v>0</v>
      </c>
      <c r="F1078" s="2">
        <v>0</v>
      </c>
      <c r="G1078" s="3">
        <f t="shared" si="38"/>
        <v>374432.56364000007</v>
      </c>
      <c r="H1078" s="3">
        <f t="shared" si="35"/>
        <v>0.4599999999627471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39.83</v>
      </c>
      <c r="D1085" s="2">
        <f>BILANCA!E80</f>
        <v>89.89</v>
      </c>
      <c r="E1085" s="2">
        <v>0</v>
      </c>
      <c r="F1085" s="2">
        <v>0</v>
      </c>
      <c r="G1085" s="3">
        <f t="shared" si="38"/>
        <v>16.470749999999999</v>
      </c>
      <c r="H1085" s="3">
        <f t="shared" si="35"/>
        <v>0.28000000000000114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7184.38</v>
      </c>
      <c r="D1087" s="2">
        <f>BILANCA!E82</f>
        <v>7884.7</v>
      </c>
      <c r="E1087" s="2">
        <v>0</v>
      </c>
      <c r="F1087" s="2">
        <v>0</v>
      </c>
      <c r="G1087" s="3">
        <f t="shared" si="38"/>
        <v>1767.4410600000001</v>
      </c>
      <c r="H1087" s="3">
        <f t="shared" si="35"/>
        <v>0.68000000000029104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7184.38</v>
      </c>
      <c r="D1092" s="2">
        <f>BILANCA!E87</f>
        <v>7884.7</v>
      </c>
      <c r="E1092" s="2">
        <v>0</v>
      </c>
      <c r="F1092" s="2">
        <v>0</v>
      </c>
      <c r="G1092" s="3">
        <f t="shared" si="38"/>
        <v>1882.2099600000001</v>
      </c>
      <c r="H1092" s="3">
        <f t="shared" si="35"/>
        <v>0.68000000000029104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290850.09000000003</v>
      </c>
      <c r="D1140" s="2">
        <f>BILANCA!E135</f>
        <v>290850.09000000003</v>
      </c>
      <c r="E1140" s="2">
        <v>0</v>
      </c>
      <c r="F1140" s="2">
        <v>0</v>
      </c>
      <c r="G1140" s="3">
        <f t="shared" si="38"/>
        <v>113431.53510000001</v>
      </c>
      <c r="H1140" s="3">
        <f t="shared" si="41"/>
        <v>0.18000000005122274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290850.09000000003</v>
      </c>
      <c r="D1141" s="2">
        <f>BILANCA!E136</f>
        <v>290850.09000000003</v>
      </c>
      <c r="E1141" s="2">
        <v>0</v>
      </c>
      <c r="F1141" s="2">
        <v>0</v>
      </c>
      <c r="G1141" s="3">
        <f t="shared" si="38"/>
        <v>114304.08537000002</v>
      </c>
      <c r="H1141" s="3">
        <f t="shared" si="41"/>
        <v>0.18000000005122274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290850.09000000003</v>
      </c>
      <c r="D1147" s="2">
        <f>BILANCA!E142</f>
        <v>290850.09000000003</v>
      </c>
      <c r="E1147" s="2">
        <v>0</v>
      </c>
      <c r="F1147" s="2">
        <v>0</v>
      </c>
      <c r="G1147" s="3">
        <f t="shared" si="38"/>
        <v>119539.38699000003</v>
      </c>
      <c r="H1147" s="3">
        <f t="shared" si="41"/>
        <v>0.18000000005122274</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50591.15</v>
      </c>
      <c r="D1152" s="2">
        <f>BILANCA!E147</f>
        <v>113689.03999999998</v>
      </c>
      <c r="E1152" s="2">
        <v>0</v>
      </c>
      <c r="F1152" s="2">
        <v>0</v>
      </c>
      <c r="G1152" s="3">
        <f t="shared" si="38"/>
        <v>39471.630659999995</v>
      </c>
      <c r="H1152" s="3">
        <f t="shared" si="41"/>
        <v>0.18999999998050043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1486.99</v>
      </c>
      <c r="D1153" s="2">
        <f>BILANCA!E148</f>
        <v>18145.060000000001</v>
      </c>
      <c r="E1153" s="2">
        <v>0</v>
      </c>
      <c r="F1153" s="2">
        <v>0</v>
      </c>
      <c r="G1153" s="3">
        <f t="shared" si="38"/>
        <v>5402.12673</v>
      </c>
      <c r="H1153" s="3">
        <f t="shared" si="41"/>
        <v>7.0000000001300577E-2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16927.66</v>
      </c>
      <c r="D1164" s="2">
        <f>BILANCA!E159</f>
        <v>35398.129999999997</v>
      </c>
      <c r="E1164" s="2">
        <v>0</v>
      </c>
      <c r="F1164" s="2">
        <v>0</v>
      </c>
      <c r="G1164" s="3">
        <f t="shared" si="38"/>
        <v>13509.483679999999</v>
      </c>
      <c r="H1164" s="3">
        <f t="shared" si="41"/>
        <v>0.46999999999752617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79455.03</v>
      </c>
      <c r="D1165" s="2">
        <f>BILANCA!E160</f>
        <v>102736.74</v>
      </c>
      <c r="E1165" s="2">
        <v>0</v>
      </c>
      <c r="F1165" s="2">
        <v>0</v>
      </c>
      <c r="G1165" s="3">
        <f t="shared" si="38"/>
        <v>44163.919049999997</v>
      </c>
      <c r="H1165" s="3">
        <f t="shared" si="41"/>
        <v>0.28999999999359716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15387.26</v>
      </c>
      <c r="D1166" s="2">
        <f>BILANCA!E161</f>
        <v>20074.899999999998</v>
      </c>
      <c r="E1166" s="2">
        <v>0</v>
      </c>
      <c r="F1166" s="2">
        <v>0</v>
      </c>
      <c r="G1166" s="3">
        <f t="shared" si="38"/>
        <v>8663.781359999999</v>
      </c>
      <c r="H1166" s="3">
        <f t="shared" si="41"/>
        <v>0.36000000000240107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62665.79</v>
      </c>
      <c r="D1169" s="2">
        <f>BILANCA!E164</f>
        <v>62665.79</v>
      </c>
      <c r="E1169" s="2">
        <v>0</v>
      </c>
      <c r="F1169" s="2">
        <v>0</v>
      </c>
      <c r="G1169" s="3">
        <f t="shared" si="38"/>
        <v>29891.581829999999</v>
      </c>
      <c r="H1169" s="3">
        <f t="shared" si="41"/>
        <v>0.41999999999825377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151.16</v>
      </c>
      <c r="D1176" s="2">
        <f>BILANCA!E171</f>
        <v>1176.8499999999999</v>
      </c>
      <c r="E1176" s="2">
        <v>0</v>
      </c>
      <c r="F1176" s="2">
        <v>0</v>
      </c>
      <c r="G1176" s="3">
        <f t="shared" si="38"/>
        <v>415.80676</v>
      </c>
      <c r="H1176" s="3">
        <f t="shared" si="41"/>
        <v>0.31000000000008754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151.16</v>
      </c>
      <c r="D1177" s="2">
        <f>BILANCA!E172</f>
        <v>1176.8499999999999</v>
      </c>
      <c r="E1177" s="2">
        <v>0</v>
      </c>
      <c r="F1177" s="2">
        <v>0</v>
      </c>
      <c r="G1177" s="3">
        <f t="shared" si="38"/>
        <v>418.31162</v>
      </c>
      <c r="H1177" s="3">
        <f t="shared" si="41"/>
        <v>0.31000000000008754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6210874</v>
      </c>
      <c r="D1180" s="2">
        <f>BILANCA!E176</f>
        <v>7299248.0699999984</v>
      </c>
      <c r="E1180" s="2">
        <v>0</v>
      </c>
      <c r="F1180" s="2">
        <v>0</v>
      </c>
      <c r="G1180" s="3">
        <f t="shared" si="38"/>
        <v>3537592.9237999995</v>
      </c>
      <c r="H1180" s="3">
        <f t="shared" si="41"/>
        <v>6.9999998435378075E-2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71017.460000000006</v>
      </c>
      <c r="D1181" s="2">
        <f>BILANCA!E177</f>
        <v>394821.71999999991</v>
      </c>
      <c r="E1181" s="2">
        <v>0</v>
      </c>
      <c r="F1181" s="2">
        <v>0</v>
      </c>
      <c r="G1181" s="3">
        <f t="shared" si="38"/>
        <v>147173.01389999999</v>
      </c>
      <c r="H1181" s="3">
        <f t="shared" si="41"/>
        <v>0.74000000009255018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70773.86</v>
      </c>
      <c r="D1182" s="2">
        <f>BILANCA!E178</f>
        <v>387183.94999999995</v>
      </c>
      <c r="E1182" s="2">
        <v>0</v>
      </c>
      <c r="F1182" s="2">
        <v>0</v>
      </c>
      <c r="G1182" s="3">
        <f t="shared" si="38"/>
        <v>145364.38271999997</v>
      </c>
      <c r="H1182" s="3">
        <f t="shared" si="41"/>
        <v>0.19000000004598405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34287.69</v>
      </c>
      <c r="D1183" s="2">
        <f>BILANCA!E179</f>
        <v>51033.46</v>
      </c>
      <c r="E1183" s="2">
        <v>0</v>
      </c>
      <c r="F1183" s="2">
        <v>0</v>
      </c>
      <c r="G1183" s="3">
        <f t="shared" si="38"/>
        <v>23589.347529999999</v>
      </c>
      <c r="H1183" s="3">
        <f t="shared" si="41"/>
        <v>0.76999999999679858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27671.24</v>
      </c>
      <c r="D1184" s="2">
        <f>BILANCA!E180</f>
        <v>31243.9</v>
      </c>
      <c r="E1184" s="2">
        <v>0</v>
      </c>
      <c r="F1184" s="2">
        <v>0</v>
      </c>
      <c r="G1184" s="3">
        <f t="shared" si="38"/>
        <v>15687.67296</v>
      </c>
      <c r="H1184" s="3">
        <f t="shared" si="41"/>
        <v>0.34000000000014552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252.03</v>
      </c>
      <c r="D1185" s="2">
        <f>BILANCA!E181</f>
        <v>253.14</v>
      </c>
      <c r="E1185" s="2">
        <v>0</v>
      </c>
      <c r="F1185" s="2">
        <v>0</v>
      </c>
      <c r="G1185" s="3">
        <f t="shared" si="38"/>
        <v>132.70425</v>
      </c>
      <c r="H1185" s="3">
        <f t="shared" si="41"/>
        <v>0.16999999999998749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252.03</v>
      </c>
      <c r="D1188" s="2">
        <f>BILANCA!E184</f>
        <v>253.14</v>
      </c>
      <c r="E1188" s="2">
        <v>0</v>
      </c>
      <c r="F1188" s="2">
        <v>0</v>
      </c>
      <c r="G1188" s="3">
        <f t="shared" si="38"/>
        <v>134.97917999999999</v>
      </c>
      <c r="H1188" s="3">
        <f t="shared" si="41"/>
        <v>0.16999999999998749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3558</v>
      </c>
      <c r="D1198" s="2">
        <f>BILANCA!E194</f>
        <v>1090.23</v>
      </c>
      <c r="E1198" s="2">
        <v>0</v>
      </c>
      <c r="F1198" s="2">
        <v>0</v>
      </c>
      <c r="G1198" s="3">
        <f t="shared" si="38"/>
        <v>1078.8304800000001</v>
      </c>
      <c r="H1198" s="3">
        <f t="shared" si="41"/>
        <v>0.23000000000001819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3381.46</v>
      </c>
      <c r="D1199" s="2">
        <f>BILANCA!E195</f>
        <v>303563.21999999997</v>
      </c>
      <c r="E1199" s="2">
        <v>0</v>
      </c>
      <c r="F1199" s="2">
        <v>0</v>
      </c>
      <c r="G1199" s="3">
        <f t="shared" si="38"/>
        <v>115385.99309999999</v>
      </c>
      <c r="H1199" s="3">
        <f t="shared" si="41"/>
        <v>0.6799999999720967</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1623.44</v>
      </c>
      <c r="D1200" s="2">
        <f>BILANCA!E196</f>
        <v>0</v>
      </c>
      <c r="E1200" s="2">
        <v>0</v>
      </c>
      <c r="F1200" s="2">
        <v>0</v>
      </c>
      <c r="G1200" s="3">
        <f t="shared" si="38"/>
        <v>308.45359999999999</v>
      </c>
      <c r="H1200" s="3">
        <f t="shared" si="41"/>
        <v>0.44000000000005457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6604.87</v>
      </c>
      <c r="E1201" s="2">
        <v>0</v>
      </c>
      <c r="F1201" s="2">
        <v>0</v>
      </c>
      <c r="G1201" s="3">
        <f t="shared" si="38"/>
        <v>2523.06034</v>
      </c>
      <c r="H1201" s="3">
        <f t="shared" si="41"/>
        <v>0.13000000000010914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6604.87</v>
      </c>
      <c r="E1203" s="2">
        <v>0</v>
      </c>
      <c r="F1203" s="2">
        <v>0</v>
      </c>
      <c r="G1203" s="3">
        <f t="shared" si="44"/>
        <v>2549.47982</v>
      </c>
      <c r="H1203" s="3">
        <f t="shared" si="45"/>
        <v>0.13000000000010914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789.3</v>
      </c>
      <c r="E1251" s="2">
        <v>0</v>
      </c>
      <c r="F1251" s="2">
        <v>0</v>
      </c>
      <c r="G1251" s="3">
        <f>B1251/1000*C1251+B1251/500*D1251</f>
        <v>380.44259999999997</v>
      </c>
      <c r="H1251" s="3">
        <f>ABS(C1251-ROUND(C1251,0))+ABS(D1251-ROUND(D1251,0))</f>
        <v>0.29999999999995453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243.6</v>
      </c>
      <c r="D1252" s="2">
        <f>BILANCA!E248</f>
        <v>243.6</v>
      </c>
      <c r="E1252" s="2">
        <v>0</v>
      </c>
      <c r="F1252" s="2">
        <v>0</v>
      </c>
      <c r="G1252" s="3">
        <f t="shared" si="38"/>
        <v>176.8536</v>
      </c>
      <c r="H1252" s="3">
        <f t="shared" si="41"/>
        <v>0.80000000000001137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243.6</v>
      </c>
      <c r="D1253" s="2">
        <f>BILANCA!E249</f>
        <v>243.6</v>
      </c>
      <c r="E1253" s="2">
        <v>0</v>
      </c>
      <c r="F1253" s="2">
        <v>0</v>
      </c>
      <c r="G1253" s="3">
        <f t="shared" si="38"/>
        <v>177.58439999999999</v>
      </c>
      <c r="H1253" s="3">
        <f t="shared" si="41"/>
        <v>0.80000000000001137</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6139856.54</v>
      </c>
      <c r="D1255" s="2">
        <f>BILANCA!E251</f>
        <v>6904426.3499999987</v>
      </c>
      <c r="E1255" s="2">
        <v>0</v>
      </c>
      <c r="F1255" s="2">
        <v>0</v>
      </c>
      <c r="G1255" s="3">
        <f t="shared" si="38"/>
        <v>4887433.7637999989</v>
      </c>
      <c r="H1255" s="3">
        <f t="shared" si="41"/>
        <v>0.80999999865889549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4747797.38</v>
      </c>
      <c r="D1256" s="2">
        <f>BILANCA!E252</f>
        <v>5008572.0499999989</v>
      </c>
      <c r="E1256" s="2">
        <v>0</v>
      </c>
      <c r="F1256" s="2">
        <v>0</v>
      </c>
      <c r="G1256" s="3">
        <f t="shared" si="38"/>
        <v>3632175.604079999</v>
      </c>
      <c r="H1256" s="3">
        <f t="shared" si="41"/>
        <v>0.4299999987706542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4849989.51</v>
      </c>
      <c r="D1257" s="2">
        <f>BILANCA!E253</f>
        <v>5113481.9899999993</v>
      </c>
      <c r="E1257" s="2">
        <v>0</v>
      </c>
      <c r="F1257" s="2">
        <v>0</v>
      </c>
      <c r="G1257" s="3">
        <f t="shared" si="38"/>
        <v>3724007.5120299999</v>
      </c>
      <c r="H1257" s="3">
        <f t="shared" si="41"/>
        <v>0.50000000093132257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102192.13</v>
      </c>
      <c r="D1258" s="2">
        <f>BILANCA!E254</f>
        <v>104909.94</v>
      </c>
      <c r="E1258" s="2">
        <v>0</v>
      </c>
      <c r="F1258" s="2">
        <v>0</v>
      </c>
      <c r="G1258" s="3">
        <f t="shared" si="38"/>
        <v>77378.978480000005</v>
      </c>
      <c r="H1258" s="3">
        <f t="shared" si="41"/>
        <v>0.19000000000232831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1356903.2999999998</v>
      </c>
      <c r="D1259" s="2">
        <f>BILANCA!E255</f>
        <v>1782193.55</v>
      </c>
      <c r="E1259" s="2">
        <v>0</v>
      </c>
      <c r="F1259" s="2">
        <v>0</v>
      </c>
      <c r="G1259" s="3">
        <f t="shared" si="38"/>
        <v>1225401.3095999998</v>
      </c>
      <c r="H1259" s="3">
        <f t="shared" si="41"/>
        <v>0.74999999976716936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4216281.0599999996</v>
      </c>
      <c r="D1260" s="2">
        <f>BILANCA!E256</f>
        <v>1782193.55</v>
      </c>
      <c r="E1260" s="2">
        <v>0</v>
      </c>
      <c r="F1260" s="2">
        <v>0</v>
      </c>
      <c r="G1260" s="3">
        <f t="shared" si="38"/>
        <v>1945167.04</v>
      </c>
      <c r="H1260" s="3">
        <f t="shared" si="41"/>
        <v>0.50999999954365194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4216281.0599999996</v>
      </c>
      <c r="D1261" s="2">
        <f>BILANCA!E257</f>
        <v>539481.77</v>
      </c>
      <c r="E1261" s="2">
        <v>0</v>
      </c>
      <c r="F1261" s="2">
        <v>0</v>
      </c>
      <c r="G1261" s="3">
        <f t="shared" si="38"/>
        <v>1329106.3945999998</v>
      </c>
      <c r="H1261" s="3">
        <f t="shared" si="41"/>
        <v>0.28999999957159162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1242711.78</v>
      </c>
      <c r="E1262" s="2">
        <v>0</v>
      </c>
      <c r="F1262" s="2">
        <v>0</v>
      </c>
      <c r="G1262" s="3">
        <f t="shared" si="38"/>
        <v>626326.73712000006</v>
      </c>
      <c r="H1262" s="3">
        <f t="shared" si="41"/>
        <v>0.21999999997206032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2859377.76</v>
      </c>
      <c r="D1264" s="2">
        <f>BILANCA!E260</f>
        <v>0</v>
      </c>
      <c r="E1264" s="2">
        <v>0</v>
      </c>
      <c r="F1264" s="2">
        <v>0</v>
      </c>
      <c r="G1264" s="3">
        <f t="shared" si="38"/>
        <v>726281.95103999996</v>
      </c>
      <c r="H1264" s="3">
        <f t="shared" si="41"/>
        <v>0.24000000022351742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2819906.21</v>
      </c>
      <c r="D1266" s="2">
        <f>BILANCA!E262</f>
        <v>0</v>
      </c>
      <c r="E1266" s="2">
        <v>0</v>
      </c>
      <c r="F1266" s="2">
        <v>0</v>
      </c>
      <c r="G1266" s="3">
        <f t="shared" si="38"/>
        <v>721895.98976000003</v>
      </c>
      <c r="H1266" s="3">
        <f t="shared" si="41"/>
        <v>0.2099999999627471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39471.550000000003</v>
      </c>
      <c r="D1267" s="2">
        <f>BILANCA!E263</f>
        <v>0</v>
      </c>
      <c r="E1267" s="2">
        <v>0</v>
      </c>
      <c r="F1267" s="2">
        <v>0</v>
      </c>
      <c r="G1267" s="3">
        <f t="shared" si="38"/>
        <v>10144.18835</v>
      </c>
      <c r="H1267" s="3">
        <f t="shared" si="41"/>
        <v>0.44999999999708962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35155.86</v>
      </c>
      <c r="D1278" s="2">
        <f>BILANCA!E274</f>
        <v>113660.75</v>
      </c>
      <c r="E1278" s="2">
        <v>0</v>
      </c>
      <c r="F1278" s="2">
        <v>0</v>
      </c>
      <c r="G1278" s="3">
        <f t="shared" si="38"/>
        <v>70343.932480000003</v>
      </c>
      <c r="H1278" s="3">
        <f t="shared" si="41"/>
        <v>0.38999999999941792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8719.1200000000008</v>
      </c>
      <c r="E1279" s="2">
        <v>0</v>
      </c>
      <c r="F1279" s="2">
        <v>0</v>
      </c>
      <c r="G1279" s="3">
        <f t="shared" ref="G1279:G1294" si="48">B1279/1000*C1279+B1279/500*D1279</f>
        <v>4690.8865600000008</v>
      </c>
      <c r="H1279" s="3">
        <f t="shared" ref="H1279:H1294" si="49">ABS(C1279-ROUND(C1279,0))+ABS(D1279-ROUND(D1279,0))</f>
        <v>0.12000000000080036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19666.2</v>
      </c>
      <c r="E1290" s="2">
        <v>0</v>
      </c>
      <c r="F1290" s="2">
        <v>0</v>
      </c>
      <c r="G1290" s="3">
        <f t="shared" si="48"/>
        <v>11013.072000000002</v>
      </c>
      <c r="H1290" s="3">
        <f t="shared" si="49"/>
        <v>0.2000000000007276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35155.86</v>
      </c>
      <c r="D1291" s="2">
        <f>BILANCA!E287</f>
        <v>64563.360000000001</v>
      </c>
      <c r="E1291" s="2">
        <v>0</v>
      </c>
      <c r="F1291" s="2">
        <v>0</v>
      </c>
      <c r="G1291" s="3">
        <f t="shared" si="48"/>
        <v>46163.404980000007</v>
      </c>
      <c r="H1291" s="3">
        <f t="shared" si="49"/>
        <v>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20712.07</v>
      </c>
      <c r="E1292" s="2">
        <v>0</v>
      </c>
      <c r="F1292" s="2">
        <v>0</v>
      </c>
      <c r="G1292" s="3">
        <f t="shared" si="48"/>
        <v>11681.607479999999</v>
      </c>
      <c r="H1292" s="3">
        <f t="shared" si="49"/>
        <v>6.9999999999708962E-2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102519.57</v>
      </c>
      <c r="D1305" s="2">
        <f>BILANCA!E302</f>
        <v>6864.6</v>
      </c>
      <c r="E1305" s="2">
        <v>0</v>
      </c>
      <c r="F1305" s="2">
        <v>0</v>
      </c>
      <c r="G1305" s="3">
        <f t="shared" si="38"/>
        <v>34293.387150000002</v>
      </c>
      <c r="H1305" s="3">
        <f t="shared" si="41"/>
        <v>0.82999999999265128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10737.37</v>
      </c>
      <c r="D1306" s="2">
        <f>BILANCA!E303</f>
        <v>169490.23</v>
      </c>
      <c r="E1306" s="2">
        <v>0</v>
      </c>
      <c r="F1306" s="2">
        <v>0</v>
      </c>
      <c r="G1306" s="3">
        <f t="shared" si="38"/>
        <v>103516.47768</v>
      </c>
      <c r="H1306" s="3">
        <f t="shared" si="41"/>
        <v>0.60000000001127773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5820.04</v>
      </c>
      <c r="D1311" s="2">
        <f>BILANCA!E308</f>
        <v>6813.57</v>
      </c>
      <c r="E1311" s="2">
        <v>0</v>
      </c>
      <c r="F1311" s="2">
        <v>0</v>
      </c>
      <c r="G1311" s="3">
        <f t="shared" si="52"/>
        <v>5853.6011799999997</v>
      </c>
      <c r="H1311" s="3">
        <f t="shared" si="41"/>
        <v>0.47000000000025466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1364.34</v>
      </c>
      <c r="D1312" s="2">
        <f>BILANCA!E309</f>
        <v>1071.1300000000001</v>
      </c>
      <c r="E1312" s="2">
        <v>0</v>
      </c>
      <c r="F1312" s="2">
        <v>0</v>
      </c>
      <c r="G1312" s="3">
        <f t="shared" si="52"/>
        <v>1058.9931999999999</v>
      </c>
      <c r="H1312" s="3">
        <f t="shared" si="41"/>
        <v>0.47000000000002728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35702.47</v>
      </c>
      <c r="D1339" s="2">
        <f>BILANCA!E336</f>
        <v>253.76</v>
      </c>
      <c r="E1339" s="2">
        <v>0</v>
      </c>
      <c r="F1339" s="2">
        <v>0</v>
      </c>
      <c r="G1339" s="3">
        <f t="shared" si="52"/>
        <v>11913.086710000001</v>
      </c>
      <c r="H1339" s="3">
        <f t="shared" si="41"/>
        <v>0.71000000000117325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35071.39</v>
      </c>
      <c r="D1340" s="2">
        <f>BILANCA!E337</f>
        <v>386930.19</v>
      </c>
      <c r="E1340" s="2">
        <v>0</v>
      </c>
      <c r="F1340" s="2">
        <v>0</v>
      </c>
      <c r="G1340" s="3">
        <f t="shared" si="52"/>
        <v>266947.4841</v>
      </c>
      <c r="H1340" s="3">
        <f t="shared" si="41"/>
        <v>0.58000000000174623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6604.87</v>
      </c>
      <c r="E1342" s="2">
        <v>0</v>
      </c>
      <c r="F1342" s="2">
        <v>0</v>
      </c>
      <c r="G1342" s="3">
        <f t="shared" si="52"/>
        <v>4385.6336799999999</v>
      </c>
      <c r="H1342" s="3">
        <f t="shared" si="41"/>
        <v>0.13000000000010914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519</v>
      </c>
      <c r="D1347" s="2">
        <f>BILANCA!E344</f>
        <v>0</v>
      </c>
      <c r="E1347" s="2">
        <v>0</v>
      </c>
      <c r="F1347" s="2">
        <v>0</v>
      </c>
      <c r="G1347" s="3">
        <f t="shared" si="52"/>
        <v>174.90300000000002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789.3</v>
      </c>
      <c r="E1371" s="2">
        <v>0</v>
      </c>
      <c r="F1371" s="2">
        <v>0</v>
      </c>
      <c r="G1371" s="3">
        <f t="shared" si="57"/>
        <v>569.87459999999999</v>
      </c>
      <c r="H1371" s="3">
        <f t="shared" si="58"/>
        <v>0.29999999999995453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317223.17</v>
      </c>
      <c r="D1401" s="7">
        <f>'RAS-funkcijski'!E5</f>
        <v>440501.14</v>
      </c>
      <c r="E1401" s="7">
        <v>0</v>
      </c>
      <c r="F1401" s="7">
        <v>0</v>
      </c>
      <c r="G1401" s="8">
        <f t="shared" si="52"/>
        <v>1198.2254499999999</v>
      </c>
      <c r="H1401" s="8">
        <f t="shared" si="41"/>
        <v>0.30999999999767169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101136.36</v>
      </c>
      <c r="D1402" s="2">
        <f>'RAS-funkcijski'!E6</f>
        <v>175245.11</v>
      </c>
      <c r="E1402" s="2">
        <v>0</v>
      </c>
      <c r="F1402" s="2">
        <v>0</v>
      </c>
      <c r="G1402" s="3">
        <f t="shared" si="52"/>
        <v>903.25315999999998</v>
      </c>
      <c r="H1402" s="3">
        <f t="shared" si="41"/>
        <v>0.46999999998661224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101136.36</v>
      </c>
      <c r="D1403" s="2">
        <f>'RAS-funkcijski'!E7</f>
        <v>175245.11</v>
      </c>
      <c r="E1403" s="2">
        <v>0</v>
      </c>
      <c r="F1403" s="2">
        <v>0</v>
      </c>
      <c r="G1403" s="3">
        <f t="shared" si="52"/>
        <v>1354.8797399999999</v>
      </c>
      <c r="H1403" s="3">
        <f t="shared" si="41"/>
        <v>0.46999999998661224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216086.81</v>
      </c>
      <c r="D1409" s="2">
        <f>'RAS-funkcijski'!E13</f>
        <v>265256.03000000003</v>
      </c>
      <c r="E1409" s="2">
        <v>0</v>
      </c>
      <c r="F1409" s="2">
        <v>0</v>
      </c>
      <c r="G1409" s="3">
        <f t="shared" si="52"/>
        <v>6719.3898300000001</v>
      </c>
      <c r="H1409" s="3">
        <f t="shared" si="41"/>
        <v>0.22000000003026798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85549.3</v>
      </c>
      <c r="D1410" s="2">
        <f>'RAS-funkcijski'!E14</f>
        <v>88837.41</v>
      </c>
      <c r="E1410" s="2">
        <v>0</v>
      </c>
      <c r="F1410" s="2">
        <v>0</v>
      </c>
      <c r="G1410" s="3">
        <f t="shared" si="52"/>
        <v>2632.2411999999999</v>
      </c>
      <c r="H1410" s="3">
        <f t="shared" si="41"/>
        <v>0.71000000000640284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130537.51</v>
      </c>
      <c r="D1412" s="2">
        <f>'RAS-funkcijski'!E16</f>
        <v>176418.62</v>
      </c>
      <c r="E1412" s="2">
        <v>0</v>
      </c>
      <c r="F1412" s="2">
        <v>0</v>
      </c>
      <c r="G1412" s="3">
        <f t="shared" si="52"/>
        <v>5800.4969999999994</v>
      </c>
      <c r="H1412" s="3">
        <f t="shared" si="41"/>
        <v>0.8700000000098953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58814.720000000001</v>
      </c>
      <c r="D1424" s="2">
        <f>'RAS-funkcijski'!E28</f>
        <v>72066.990000000005</v>
      </c>
      <c r="E1424" s="2">
        <v>0</v>
      </c>
      <c r="F1424" s="2">
        <v>0</v>
      </c>
      <c r="G1424" s="3">
        <f t="shared" si="52"/>
        <v>4870.7687999999998</v>
      </c>
      <c r="H1424" s="3">
        <f t="shared" si="41"/>
        <v>0.28999999999359716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53040.69</v>
      </c>
      <c r="D1426" s="2">
        <f>'RAS-funkcijski'!E30</f>
        <v>64722.04</v>
      </c>
      <c r="E1426" s="2">
        <v>0</v>
      </c>
      <c r="F1426" s="2">
        <v>0</v>
      </c>
      <c r="G1426" s="3">
        <f t="shared" si="52"/>
        <v>4744.6040199999998</v>
      </c>
      <c r="H1426" s="3">
        <f t="shared" si="41"/>
        <v>0.34999999999854481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5774.03</v>
      </c>
      <c r="D1430" s="2">
        <f>'RAS-funkcijski'!E34</f>
        <v>7344.95</v>
      </c>
      <c r="E1430" s="2">
        <v>0</v>
      </c>
      <c r="F1430" s="2">
        <v>0</v>
      </c>
      <c r="G1430" s="3">
        <f t="shared" si="52"/>
        <v>613.91789999999992</v>
      </c>
      <c r="H1430" s="3">
        <f t="shared" si="41"/>
        <v>7.999999999992724E-2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743025.75</v>
      </c>
      <c r="D1431" s="2">
        <f>'RAS-funkcijski'!E35</f>
        <v>404257.19999999995</v>
      </c>
      <c r="E1431" s="2">
        <v>0</v>
      </c>
      <c r="F1431" s="2">
        <v>0</v>
      </c>
      <c r="G1431" s="3">
        <f t="shared" si="52"/>
        <v>48097.744649999993</v>
      </c>
      <c r="H1431" s="3">
        <f t="shared" si="41"/>
        <v>0.44999999995343387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11612.19</v>
      </c>
      <c r="D1435" s="2">
        <f>'RAS-funkcijski'!E39</f>
        <v>18312.5</v>
      </c>
      <c r="E1435" s="2">
        <v>0</v>
      </c>
      <c r="F1435" s="2">
        <v>0</v>
      </c>
      <c r="G1435" s="3">
        <f t="shared" si="52"/>
        <v>1688.3016500000003</v>
      </c>
      <c r="H1435" s="3">
        <f t="shared" si="41"/>
        <v>0.69000000000050932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3298.65</v>
      </c>
      <c r="D1436" s="2">
        <f>'RAS-funkcijski'!E40</f>
        <v>7812.5</v>
      </c>
      <c r="E1436" s="2">
        <v>0</v>
      </c>
      <c r="F1436" s="2">
        <v>0</v>
      </c>
      <c r="G1436" s="3">
        <f t="shared" si="52"/>
        <v>681.25139999999999</v>
      </c>
      <c r="H1436" s="3">
        <f t="shared" si="41"/>
        <v>0.84999999999990905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8313.5400000000009</v>
      </c>
      <c r="D1438" s="2">
        <f>'RAS-funkcijski'!E42</f>
        <v>10500</v>
      </c>
      <c r="E1438" s="2">
        <v>0</v>
      </c>
      <c r="F1438" s="2">
        <v>0</v>
      </c>
      <c r="G1438" s="3">
        <f t="shared" si="52"/>
        <v>1113.91452</v>
      </c>
      <c r="H1438" s="3">
        <f t="shared" si="41"/>
        <v>0.45999999999912689</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185511.17</v>
      </c>
      <c r="D1450" s="2">
        <f>'RAS-funkcijski'!E54</f>
        <v>277367.93</v>
      </c>
      <c r="E1450" s="2">
        <v>0</v>
      </c>
      <c r="F1450" s="2">
        <v>0</v>
      </c>
      <c r="G1450" s="3">
        <f t="shared" si="52"/>
        <v>37012.351500000004</v>
      </c>
      <c r="H1450" s="3">
        <f t="shared" si="63"/>
        <v>0.2400000000197906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185511.17</v>
      </c>
      <c r="D1451" s="2">
        <f>'RAS-funkcijski'!E55</f>
        <v>277367.93</v>
      </c>
      <c r="E1451" s="2">
        <v>0</v>
      </c>
      <c r="F1451" s="2">
        <v>0</v>
      </c>
      <c r="G1451" s="3">
        <f t="shared" si="52"/>
        <v>37752.598530000003</v>
      </c>
      <c r="H1451" s="3">
        <f t="shared" si="63"/>
        <v>0.2400000000197906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548.15</v>
      </c>
      <c r="D1456" s="2">
        <f>'RAS-funkcijski'!E60</f>
        <v>3875.62</v>
      </c>
      <c r="E1456" s="2">
        <v>0</v>
      </c>
      <c r="F1456" s="2">
        <v>0</v>
      </c>
      <c r="G1456" s="3">
        <f t="shared" si="52"/>
        <v>464.76583999999997</v>
      </c>
      <c r="H1456" s="3">
        <f t="shared" si="63"/>
        <v>0.5300000000000864</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545354.23999999999</v>
      </c>
      <c r="D1470" s="2">
        <f>'RAS-funkcijski'!E74</f>
        <v>104701.15</v>
      </c>
      <c r="E1470" s="2">
        <v>0</v>
      </c>
      <c r="F1470" s="2">
        <v>0</v>
      </c>
      <c r="G1470" s="3">
        <f t="shared" si="52"/>
        <v>52832.957800000004</v>
      </c>
      <c r="H1470" s="3">
        <f t="shared" si="63"/>
        <v>0.38999999998486601</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76038.100000000006</v>
      </c>
      <c r="D1471" s="2">
        <f>'RAS-funkcijski'!E75</f>
        <v>75387.600000000006</v>
      </c>
      <c r="E1471" s="2">
        <v>0</v>
      </c>
      <c r="F1471" s="2">
        <v>0</v>
      </c>
      <c r="G1471" s="3">
        <f t="shared" si="52"/>
        <v>16103.744299999998</v>
      </c>
      <c r="H1471" s="3">
        <f t="shared" si="63"/>
        <v>0.5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39535.279999999999</v>
      </c>
      <c r="D1472" s="2">
        <f>'RAS-funkcijski'!E76</f>
        <v>33189.67</v>
      </c>
      <c r="E1472" s="2">
        <v>0</v>
      </c>
      <c r="F1472" s="2">
        <v>0</v>
      </c>
      <c r="G1472" s="3">
        <f t="shared" si="52"/>
        <v>7625.8526399999992</v>
      </c>
      <c r="H1472" s="3">
        <f t="shared" si="63"/>
        <v>0.61000000000058208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36502.82</v>
      </c>
      <c r="D1477" s="2">
        <f>'RAS-funkcijski'!E81</f>
        <v>42197.93</v>
      </c>
      <c r="E1477" s="2">
        <v>0</v>
      </c>
      <c r="F1477" s="2">
        <v>0</v>
      </c>
      <c r="G1477" s="3">
        <f t="shared" si="52"/>
        <v>9309.1983599999985</v>
      </c>
      <c r="H1477" s="3">
        <f t="shared" si="63"/>
        <v>0.25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209770.76</v>
      </c>
      <c r="D1478" s="2">
        <f>'RAS-funkcijski'!E82</f>
        <v>557541.27</v>
      </c>
      <c r="E1478" s="2">
        <v>0</v>
      </c>
      <c r="F1478" s="2">
        <v>0</v>
      </c>
      <c r="G1478" s="3">
        <f t="shared" si="52"/>
        <v>103338.55740000001</v>
      </c>
      <c r="H1478" s="3">
        <f t="shared" si="63"/>
        <v>0.51000000000931323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13125</v>
      </c>
      <c r="E1479" s="2">
        <v>0</v>
      </c>
      <c r="F1479" s="2">
        <v>0</v>
      </c>
      <c r="G1479" s="3">
        <f t="shared" si="52"/>
        <v>2073.75</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154826.1</v>
      </c>
      <c r="D1480" s="2">
        <f>'RAS-funkcijski'!E84</f>
        <v>187778.13</v>
      </c>
      <c r="E1480" s="2">
        <v>0</v>
      </c>
      <c r="F1480" s="2">
        <v>0</v>
      </c>
      <c r="G1480" s="3">
        <f t="shared" si="52"/>
        <v>42430.588800000005</v>
      </c>
      <c r="H1480" s="3">
        <f t="shared" si="63"/>
        <v>0.23000000001047738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39305.440000000002</v>
      </c>
      <c r="D1482" s="2">
        <f>'RAS-funkcijski'!E86</f>
        <v>39791.49</v>
      </c>
      <c r="E1482" s="2">
        <v>0</v>
      </c>
      <c r="F1482" s="2">
        <v>0</v>
      </c>
      <c r="G1482" s="3">
        <f t="shared" si="52"/>
        <v>9748.8504400000002</v>
      </c>
      <c r="H1482" s="3">
        <f t="shared" si="63"/>
        <v>0.93000000000029104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300000</v>
      </c>
      <c r="E1483" s="2">
        <v>0</v>
      </c>
      <c r="F1483" s="2">
        <v>0</v>
      </c>
      <c r="G1483" s="3">
        <f t="shared" si="52"/>
        <v>49800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15639.22</v>
      </c>
      <c r="D1484" s="2">
        <f>'RAS-funkcijski'!E88</f>
        <v>16846.650000000001</v>
      </c>
      <c r="E1484" s="2">
        <v>0</v>
      </c>
      <c r="F1484" s="2">
        <v>0</v>
      </c>
      <c r="G1484" s="3">
        <f t="shared" si="52"/>
        <v>4143.9316800000006</v>
      </c>
      <c r="H1484" s="3">
        <f t="shared" si="63"/>
        <v>0.56999999999788997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8315.77</v>
      </c>
      <c r="D1485" s="2">
        <f>'RAS-funkcijski'!E89</f>
        <v>9648.17</v>
      </c>
      <c r="E1485" s="2">
        <v>0</v>
      </c>
      <c r="F1485" s="2">
        <v>0</v>
      </c>
      <c r="G1485" s="3">
        <f t="shared" si="52"/>
        <v>2347.0293500000002</v>
      </c>
      <c r="H1485" s="3">
        <f t="shared" si="63"/>
        <v>0.3999999999996362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8315.77</v>
      </c>
      <c r="D1500" s="2">
        <f>'RAS-funkcijski'!E104</f>
        <v>9648.17</v>
      </c>
      <c r="E1500" s="2">
        <v>0</v>
      </c>
      <c r="F1500" s="2">
        <v>0</v>
      </c>
      <c r="G1500" s="3">
        <f t="shared" si="52"/>
        <v>2761.2110000000002</v>
      </c>
      <c r="H1500" s="3">
        <f t="shared" si="63"/>
        <v>0.3999999999996362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106645.20000000001</v>
      </c>
      <c r="D1503" s="2">
        <f>'RAS-funkcijski'!E107</f>
        <v>137077.04999999999</v>
      </c>
      <c r="E1503" s="2">
        <v>0</v>
      </c>
      <c r="F1503" s="2">
        <v>0</v>
      </c>
      <c r="G1503" s="3">
        <f t="shared" si="52"/>
        <v>39222.327899999997</v>
      </c>
      <c r="H1503" s="3">
        <f t="shared" si="63"/>
        <v>0.25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53695.66</v>
      </c>
      <c r="D1504" s="2">
        <f>'RAS-funkcijski'!E108</f>
        <v>80005.81</v>
      </c>
      <c r="E1504" s="2">
        <v>0</v>
      </c>
      <c r="F1504" s="2">
        <v>0</v>
      </c>
      <c r="G1504" s="3">
        <f t="shared" si="52"/>
        <v>22225.557119999998</v>
      </c>
      <c r="H1504" s="3">
        <f t="shared" si="63"/>
        <v>0.52999999999883585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33768.25</v>
      </c>
      <c r="D1505" s="2">
        <f>'RAS-funkcijski'!E109</f>
        <v>37709.94</v>
      </c>
      <c r="E1505" s="2">
        <v>0</v>
      </c>
      <c r="F1505" s="2">
        <v>0</v>
      </c>
      <c r="G1505" s="3">
        <f t="shared" si="52"/>
        <v>11464.753650000001</v>
      </c>
      <c r="H1505" s="3">
        <f t="shared" si="63"/>
        <v>0.30999999999767169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11293.33</v>
      </c>
      <c r="D1506" s="2">
        <f>'RAS-funkcijski'!E110</f>
        <v>14361.3</v>
      </c>
      <c r="E1506" s="2">
        <v>0</v>
      </c>
      <c r="F1506" s="2">
        <v>0</v>
      </c>
      <c r="G1506" s="3">
        <f t="shared" si="52"/>
        <v>4241.68858</v>
      </c>
      <c r="H1506" s="3">
        <f t="shared" si="63"/>
        <v>0.62999999999919964</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5939</v>
      </c>
      <c r="D1507" s="2">
        <f>'RAS-funkcijski'!E111</f>
        <v>5000</v>
      </c>
      <c r="E1507" s="2">
        <v>0</v>
      </c>
      <c r="F1507" s="2">
        <v>0</v>
      </c>
      <c r="G1507" s="3">
        <f t="shared" si="52"/>
        <v>1705.473</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1948.96</v>
      </c>
      <c r="D1509" s="2">
        <f>'RAS-funkcijski'!E113</f>
        <v>0</v>
      </c>
      <c r="E1509" s="2">
        <v>0</v>
      </c>
      <c r="F1509" s="2">
        <v>0</v>
      </c>
      <c r="G1509" s="3">
        <f t="shared" si="52"/>
        <v>212.43664000000001</v>
      </c>
      <c r="H1509" s="3">
        <f t="shared" si="63"/>
        <v>3.999999999996362E-2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424449.05</v>
      </c>
      <c r="D1510" s="2">
        <f>'RAS-funkcijski'!E114</f>
        <v>611114.35</v>
      </c>
      <c r="E1510" s="2">
        <v>0</v>
      </c>
      <c r="F1510" s="2">
        <v>0</v>
      </c>
      <c r="G1510" s="3">
        <f t="shared" si="52"/>
        <v>181134.55249999999</v>
      </c>
      <c r="H1510" s="3">
        <f t="shared" si="63"/>
        <v>0.3999999999650754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391109.05</v>
      </c>
      <c r="D1511" s="2">
        <f>'RAS-funkcijski'!E115</f>
        <v>571034.35</v>
      </c>
      <c r="E1511" s="2">
        <v>0</v>
      </c>
      <c r="F1511" s="2">
        <v>0</v>
      </c>
      <c r="G1511" s="3">
        <f t="shared" si="52"/>
        <v>170182.73024999999</v>
      </c>
      <c r="H1511" s="3">
        <f t="shared" si="63"/>
        <v>0.3999999999650754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390434.95</v>
      </c>
      <c r="D1512" s="2">
        <f>'RAS-funkcijski'!E116</f>
        <v>567877.93999999994</v>
      </c>
      <c r="E1512" s="2">
        <v>0</v>
      </c>
      <c r="F1512" s="2">
        <v>0</v>
      </c>
      <c r="G1512" s="3">
        <f t="shared" si="52"/>
        <v>170933.37296000001</v>
      </c>
      <c r="H1512" s="3">
        <f t="shared" si="63"/>
        <v>0.11000000004423782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674.1</v>
      </c>
      <c r="D1513" s="2">
        <f>'RAS-funkcijski'!E117</f>
        <v>3156.41</v>
      </c>
      <c r="E1513" s="2">
        <v>0</v>
      </c>
      <c r="F1513" s="2">
        <v>0</v>
      </c>
      <c r="G1513" s="3">
        <f t="shared" si="52"/>
        <v>789.52196000000004</v>
      </c>
      <c r="H1513" s="3">
        <f t="shared" si="63"/>
        <v>0.50999999999987722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17850</v>
      </c>
      <c r="D1514" s="2">
        <f>'RAS-funkcijski'!E118</f>
        <v>22270</v>
      </c>
      <c r="E1514" s="2">
        <v>0</v>
      </c>
      <c r="F1514" s="2">
        <v>0</v>
      </c>
      <c r="G1514" s="3">
        <f t="shared" si="52"/>
        <v>7112.4600000000009</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17850</v>
      </c>
      <c r="D1516" s="2">
        <f>'RAS-funkcijski'!E120</f>
        <v>22270</v>
      </c>
      <c r="E1516" s="2">
        <v>0</v>
      </c>
      <c r="F1516" s="2">
        <v>0</v>
      </c>
      <c r="G1516" s="3">
        <f t="shared" si="52"/>
        <v>7237.24</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15490</v>
      </c>
      <c r="D1518" s="2">
        <f>'RAS-funkcijski'!E122</f>
        <v>17810</v>
      </c>
      <c r="E1518" s="2">
        <v>0</v>
      </c>
      <c r="F1518" s="2">
        <v>0</v>
      </c>
      <c r="G1518" s="3">
        <f t="shared" si="52"/>
        <v>6030.98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15490</v>
      </c>
      <c r="D1519" s="2">
        <f>'RAS-funkcijski'!E123</f>
        <v>17810</v>
      </c>
      <c r="E1519" s="2">
        <v>0</v>
      </c>
      <c r="F1519" s="2">
        <v>0</v>
      </c>
      <c r="G1519" s="3">
        <f t="shared" si="52"/>
        <v>6082.09</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104671.89</v>
      </c>
      <c r="D1525" s="2">
        <f>'RAS-funkcijski'!E129</f>
        <v>166925.14000000001</v>
      </c>
      <c r="E1525" s="2">
        <v>0</v>
      </c>
      <c r="F1525" s="2">
        <v>0</v>
      </c>
      <c r="G1525" s="3">
        <f t="shared" si="52"/>
        <v>54815.271250000005</v>
      </c>
      <c r="H1525" s="3">
        <f t="shared" si="63"/>
        <v>0.25000000001455192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34570</v>
      </c>
      <c r="D1529" s="2">
        <f>'RAS-funkcijski'!E133</f>
        <v>83100</v>
      </c>
      <c r="E1529" s="2">
        <v>0</v>
      </c>
      <c r="F1529" s="2">
        <v>0</v>
      </c>
      <c r="G1529" s="3">
        <f t="shared" si="52"/>
        <v>25899.329999999998</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20791.13</v>
      </c>
      <c r="D1531" s="2">
        <f>'RAS-funkcijski'!E135</f>
        <v>35660.53</v>
      </c>
      <c r="E1531" s="2">
        <v>0</v>
      </c>
      <c r="F1531" s="2">
        <v>0</v>
      </c>
      <c r="G1531" s="3">
        <f t="shared" si="52"/>
        <v>12066.696889999999</v>
      </c>
      <c r="H1531" s="3">
        <f t="shared" si="63"/>
        <v>0.60000000000218279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49310.76</v>
      </c>
      <c r="D1536" s="2">
        <f>'RAS-funkcijski'!E140</f>
        <v>48164.61</v>
      </c>
      <c r="E1536" s="2">
        <v>0</v>
      </c>
      <c r="F1536" s="2">
        <v>0</v>
      </c>
      <c r="G1536" s="3">
        <f t="shared" si="52"/>
        <v>19807.037280000004</v>
      </c>
      <c r="H1536" s="3">
        <f t="shared" si="63"/>
        <v>0.62999999999738066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2048954.4100000001</v>
      </c>
      <c r="D1537" s="14">
        <f>'RAS-funkcijski'!E141</f>
        <v>2474518.91</v>
      </c>
      <c r="E1537" s="14">
        <v>0</v>
      </c>
      <c r="F1537" s="14">
        <v>0</v>
      </c>
      <c r="G1537" s="15">
        <f t="shared" si="52"/>
        <v>958724.93551000021</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232698.93</v>
      </c>
      <c r="E1538" s="7">
        <v>0</v>
      </c>
      <c r="F1538" s="7">
        <v>0</v>
      </c>
      <c r="G1538" s="8">
        <f t="shared" si="52"/>
        <v>465.39785999999998</v>
      </c>
      <c r="H1538" s="8">
        <f t="shared" si="63"/>
        <v>7.0000000006984919E-2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232698.93</v>
      </c>
      <c r="E1539" s="2">
        <v>0</v>
      </c>
      <c r="F1539" s="2">
        <v>0</v>
      </c>
      <c r="G1539" s="3">
        <f t="shared" si="52"/>
        <v>930.79571999999996</v>
      </c>
      <c r="H1539" s="3">
        <f t="shared" si="63"/>
        <v>7.0000000006984919E-2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232698.93</v>
      </c>
      <c r="E1540" s="2">
        <v>0</v>
      </c>
      <c r="F1540" s="2">
        <v>0</v>
      </c>
      <c r="G1540" s="3">
        <f t="shared" si="52"/>
        <v>1396.1935799999999</v>
      </c>
      <c r="H1540" s="3">
        <f t="shared" si="63"/>
        <v>7.0000000006984919E-2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232698.93</v>
      </c>
      <c r="E1542" s="2">
        <v>0</v>
      </c>
      <c r="F1542" s="2">
        <v>0</v>
      </c>
      <c r="G1542" s="3">
        <f t="shared" si="52"/>
        <v>2326.9893000000002</v>
      </c>
      <c r="H1542" s="3">
        <f t="shared" si="63"/>
        <v>7.0000000006984919E-2</v>
      </c>
      <c r="I1542" s="11">
        <f t="shared" si="64"/>
        <v>162.88925101625384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132958.95000000001</v>
      </c>
      <c r="D1582" s="7"/>
      <c r="E1582" s="7">
        <v>0</v>
      </c>
      <c r="F1582" s="7">
        <v>0</v>
      </c>
      <c r="G1582" s="8">
        <f t="shared" ref="G1582:G1686" si="70">B1582/1000*C1582</f>
        <v>132.95895000000002</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2547497.33</v>
      </c>
      <c r="D1583" s="2">
        <v>0</v>
      </c>
      <c r="E1583" s="2">
        <v>0</v>
      </c>
      <c r="F1583" s="2">
        <v>0</v>
      </c>
      <c r="G1583" s="3">
        <f t="shared" si="70"/>
        <v>5094.9946600000003</v>
      </c>
      <c r="H1583" s="3">
        <f t="shared" si="71"/>
        <v>0.33000000007450581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1973838.6</v>
      </c>
      <c r="D1585" s="2">
        <v>0</v>
      </c>
      <c r="E1585" s="2">
        <v>0</v>
      </c>
      <c r="F1585" s="2">
        <v>0</v>
      </c>
      <c r="G1585" s="3">
        <f t="shared" si="70"/>
        <v>7895.3544000000002</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559854.63</v>
      </c>
      <c r="D1586" s="2">
        <v>0</v>
      </c>
      <c r="E1586" s="2">
        <v>0</v>
      </c>
      <c r="F1586" s="2">
        <v>0</v>
      </c>
      <c r="G1586" s="3">
        <f t="shared" si="70"/>
        <v>2799.27315</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698265.57</v>
      </c>
      <c r="D1587" s="2">
        <v>0</v>
      </c>
      <c r="E1587" s="2">
        <v>0</v>
      </c>
      <c r="F1587" s="2">
        <v>0</v>
      </c>
      <c r="G1587" s="3">
        <f t="shared" si="70"/>
        <v>4189.5934200000002</v>
      </c>
      <c r="H1587" s="3">
        <f t="shared" si="71"/>
        <v>0.43000000005122274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2838.07</v>
      </c>
      <c r="D1588" s="2">
        <v>0</v>
      </c>
      <c r="E1588" s="2">
        <v>0</v>
      </c>
      <c r="F1588" s="2">
        <v>0</v>
      </c>
      <c r="G1588" s="3">
        <f t="shared" si="70"/>
        <v>19.866490000000002</v>
      </c>
      <c r="H1588" s="3">
        <f t="shared" si="71"/>
        <v>7.0000000000163709E-2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7200</v>
      </c>
      <c r="D1589" s="2">
        <v>0</v>
      </c>
      <c r="E1589" s="2">
        <v>0</v>
      </c>
      <c r="F1589" s="2">
        <v>0</v>
      </c>
      <c r="G1589" s="3">
        <f t="shared" si="70"/>
        <v>57.6</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196255.14</v>
      </c>
      <c r="D1591" s="2">
        <v>0</v>
      </c>
      <c r="E1591" s="2">
        <v>0</v>
      </c>
      <c r="F1591" s="2">
        <v>0</v>
      </c>
      <c r="G1591" s="3">
        <f t="shared" si="70"/>
        <v>1962.5514000000003</v>
      </c>
      <c r="H1591" s="3">
        <f t="shared" si="71"/>
        <v>0.14000000001396984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492239.71</v>
      </c>
      <c r="D1592" s="2">
        <v>0</v>
      </c>
      <c r="E1592" s="2">
        <v>0</v>
      </c>
      <c r="F1592" s="2">
        <v>0</v>
      </c>
      <c r="G1592" s="3">
        <f t="shared" si="70"/>
        <v>5414.63681</v>
      </c>
      <c r="H1592" s="3">
        <f t="shared" si="71"/>
        <v>0.28999999997904524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17185.48</v>
      </c>
      <c r="D1593" s="2">
        <v>0</v>
      </c>
      <c r="E1593" s="2">
        <v>0</v>
      </c>
      <c r="F1593" s="2">
        <v>0</v>
      </c>
      <c r="G1593" s="3">
        <f t="shared" si="70"/>
        <v>206.22576000000001</v>
      </c>
      <c r="H1593" s="3">
        <f t="shared" si="71"/>
        <v>0.47999999999956344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496844.21</v>
      </c>
      <c r="D1594" s="2">
        <v>0</v>
      </c>
      <c r="E1594" s="2">
        <v>0</v>
      </c>
      <c r="F1594" s="2">
        <v>0</v>
      </c>
      <c r="G1594" s="3">
        <f t="shared" si="70"/>
        <v>6458.9747299999999</v>
      </c>
      <c r="H1594" s="3">
        <f t="shared" si="71"/>
        <v>0.21000000002095476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76814.52</v>
      </c>
      <c r="D1601" s="2">
        <v>0</v>
      </c>
      <c r="E1601" s="2">
        <v>0</v>
      </c>
      <c r="F1601" s="2">
        <v>0</v>
      </c>
      <c r="G1601" s="3">
        <f>B1601/1000*C1601</f>
        <v>1536.2904000000001</v>
      </c>
      <c r="H1601" s="3">
        <f>ABS(C1601-ROUND(C1601,0))</f>
        <v>0.47999999999592546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2285878.16</v>
      </c>
      <c r="D1602" s="2">
        <v>0</v>
      </c>
      <c r="E1602" s="2">
        <v>0</v>
      </c>
      <c r="F1602" s="2">
        <v>0</v>
      </c>
      <c r="G1602" s="3">
        <f t="shared" si="70"/>
        <v>48003.441360000004</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1657428.5099999998</v>
      </c>
      <c r="D1604" s="2">
        <v>0</v>
      </c>
      <c r="E1604" s="2">
        <v>0</v>
      </c>
      <c r="F1604" s="2">
        <v>0</v>
      </c>
      <c r="G1604" s="3">
        <f t="shared" si="70"/>
        <v>38120.855729999996</v>
      </c>
      <c r="H1604" s="3">
        <f t="shared" si="71"/>
        <v>0.49000000022351742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544896.99</v>
      </c>
      <c r="D1605" s="2">
        <v>0</v>
      </c>
      <c r="E1605" s="2">
        <v>0</v>
      </c>
      <c r="F1605" s="2">
        <v>0</v>
      </c>
      <c r="G1605" s="3">
        <f t="shared" si="70"/>
        <v>13077.527760000001</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692904.78</v>
      </c>
      <c r="D1606" s="2">
        <v>0</v>
      </c>
      <c r="E1606" s="2">
        <v>0</v>
      </c>
      <c r="F1606" s="2">
        <v>0</v>
      </c>
      <c r="G1606" s="3">
        <f t="shared" si="70"/>
        <v>17322.619500000001</v>
      </c>
      <c r="H1606" s="3">
        <f t="shared" si="71"/>
        <v>0.21999999997206032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2836.96</v>
      </c>
      <c r="D1607" s="2">
        <v>0</v>
      </c>
      <c r="E1607" s="2">
        <v>0</v>
      </c>
      <c r="F1607" s="2">
        <v>0</v>
      </c>
      <c r="G1607" s="3">
        <f t="shared" si="70"/>
        <v>73.760959999999997</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7200</v>
      </c>
      <c r="D1608" s="2">
        <v>0</v>
      </c>
      <c r="E1608" s="2">
        <v>0</v>
      </c>
      <c r="F1608" s="2">
        <v>0</v>
      </c>
      <c r="G1608" s="3">
        <f t="shared" si="70"/>
        <v>194.4</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198722.91</v>
      </c>
      <c r="D1610" s="2">
        <v>0</v>
      </c>
      <c r="E1610" s="2">
        <v>0</v>
      </c>
      <c r="F1610" s="2">
        <v>0</v>
      </c>
      <c r="G1610" s="3">
        <f t="shared" si="70"/>
        <v>5762.9643900000001</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192057.95</v>
      </c>
      <c r="D1611" s="2">
        <v>0</v>
      </c>
      <c r="E1611" s="2">
        <v>0</v>
      </c>
      <c r="F1611" s="2">
        <v>0</v>
      </c>
      <c r="G1611" s="3">
        <f t="shared" si="70"/>
        <v>5761.7385000000004</v>
      </c>
      <c r="H1611" s="3">
        <f t="shared" si="71"/>
        <v>4.9999999988358468E-2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18808.919999999998</v>
      </c>
      <c r="D1612" s="2">
        <v>0</v>
      </c>
      <c r="E1612" s="2">
        <v>0</v>
      </c>
      <c r="F1612" s="2">
        <v>0</v>
      </c>
      <c r="G1612" s="3">
        <f t="shared" si="70"/>
        <v>583.07651999999996</v>
      </c>
      <c r="H1612" s="3">
        <f t="shared" si="71"/>
        <v>8.000000000174623E-2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552424.43000000005</v>
      </c>
      <c r="D1613" s="2">
        <v>0</v>
      </c>
      <c r="E1613" s="2">
        <v>0</v>
      </c>
      <c r="F1613" s="2">
        <v>0</v>
      </c>
      <c r="G1613" s="3">
        <f t="shared" si="70"/>
        <v>17677.581760000001</v>
      </c>
      <c r="H1613" s="3">
        <f t="shared" si="71"/>
        <v>0.43000000005122274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76025.22</v>
      </c>
      <c r="D1620" s="2">
        <v>0</v>
      </c>
      <c r="E1620" s="2">
        <v>0</v>
      </c>
      <c r="F1620" s="2">
        <v>0</v>
      </c>
      <c r="G1620" s="3">
        <f>B1620/1000*C1620</f>
        <v>2964.9835800000001</v>
      </c>
      <c r="H1620" s="3">
        <f>ABS(C1620-ROUND(C1620,0))</f>
        <v>0.22000000000116415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394578.12000000011</v>
      </c>
      <c r="D1621" s="2">
        <v>0</v>
      </c>
      <c r="E1621" s="2">
        <v>0</v>
      </c>
      <c r="F1621" s="2">
        <v>0</v>
      </c>
      <c r="G1621" s="3">
        <f t="shared" si="70"/>
        <v>15783.124800000005</v>
      </c>
      <c r="H1621" s="3">
        <f t="shared" si="71"/>
        <v>0.12000000011175871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253.76</v>
      </c>
      <c r="D1622" s="2">
        <v>0</v>
      </c>
      <c r="E1622" s="2">
        <v>0</v>
      </c>
      <c r="F1622" s="2">
        <v>0</v>
      </c>
      <c r="G1622" s="3">
        <f t="shared" si="70"/>
        <v>10.404159999999999</v>
      </c>
      <c r="H1622" s="3">
        <f t="shared" si="71"/>
        <v>0.24000000000000909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253.76</v>
      </c>
      <c r="D1628" s="2">
        <v>0</v>
      </c>
      <c r="E1628" s="2">
        <v>0</v>
      </c>
      <c r="F1628" s="2">
        <v>0</v>
      </c>
      <c r="G1628" s="3">
        <f t="shared" si="70"/>
        <v>11.92672</v>
      </c>
      <c r="H1628" s="3">
        <f t="shared" si="71"/>
        <v>0.24000000000000909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253.76</v>
      </c>
      <c r="D1634" s="2">
        <v>0</v>
      </c>
      <c r="E1634" s="2">
        <v>0</v>
      </c>
      <c r="F1634" s="2">
        <v>0</v>
      </c>
      <c r="G1634" s="3">
        <f t="shared" si="70"/>
        <v>13.44928</v>
      </c>
      <c r="H1634" s="3">
        <f t="shared" si="71"/>
        <v>0.24000000000000909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253.76</v>
      </c>
      <c r="D1635" s="2">
        <v>0</v>
      </c>
      <c r="E1635" s="2">
        <v>0</v>
      </c>
      <c r="F1635" s="2">
        <v>0</v>
      </c>
      <c r="G1635" s="3">
        <f t="shared" si="70"/>
        <v>13.70304</v>
      </c>
      <c r="H1635" s="3">
        <f t="shared" si="71"/>
        <v>0.24000000000000909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394324.36</v>
      </c>
      <c r="D1681" s="2">
        <v>0</v>
      </c>
      <c r="E1681" s="2">
        <v>0</v>
      </c>
      <c r="F1681" s="2">
        <v>0</v>
      </c>
      <c r="G1681" s="3">
        <f t="shared" si="70"/>
        <v>39432.436000000002</v>
      </c>
      <c r="H1681" s="3">
        <f t="shared" si="71"/>
        <v>0.35999999998603016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386930.19</v>
      </c>
      <c r="D1683" s="2">
        <v>0</v>
      </c>
      <c r="E1683" s="2">
        <v>0</v>
      </c>
      <c r="F1683" s="2">
        <v>0</v>
      </c>
      <c r="G1683" s="3">
        <f t="shared" si="70"/>
        <v>39466.879379999998</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6604.87</v>
      </c>
      <c r="D1684" s="2">
        <v>0</v>
      </c>
      <c r="E1684" s="2">
        <v>0</v>
      </c>
      <c r="F1684" s="2">
        <v>0</v>
      </c>
      <c r="G1684" s="3">
        <f t="shared" si="70"/>
        <v>680.30160999999998</v>
      </c>
      <c r="H1684" s="3">
        <f t="shared" si="71"/>
        <v>0.13000000000010914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789.3</v>
      </c>
      <c r="D1686" s="14">
        <v>0</v>
      </c>
      <c r="E1686" s="14">
        <v>0</v>
      </c>
      <c r="F1686" s="14">
        <v>0</v>
      </c>
      <c r="G1686" s="15">
        <f t="shared" si="70"/>
        <v>82.876499999999993</v>
      </c>
      <c r="H1686" s="15">
        <f t="shared" si="71"/>
        <v>0.29999999999995453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7" t="s">
        <v>2019</v>
      </c>
      <c r="B1" s="397"/>
      <c r="C1" s="397"/>
    </row>
    <row r="2" spans="1:16" ht="33" customHeight="1" x14ac:dyDescent="0.25">
      <c r="A2" s="398" t="s">
        <v>2020</v>
      </c>
      <c r="B2" s="399"/>
      <c r="C2" s="396"/>
      <c r="D2" s="5"/>
      <c r="E2" s="5"/>
      <c r="F2" s="5"/>
      <c r="G2" s="5"/>
      <c r="H2" s="5"/>
      <c r="I2" s="5"/>
      <c r="J2" s="5"/>
      <c r="K2" s="5"/>
      <c r="L2" s="5"/>
      <c r="M2" s="5"/>
      <c r="N2" s="5"/>
      <c r="O2" s="5"/>
      <c r="P2" s="5"/>
    </row>
    <row r="3" spans="1:16" ht="18.75" customHeight="1" x14ac:dyDescent="0.25">
      <c r="A3" s="222" t="s">
        <v>2021</v>
      </c>
      <c r="B3" s="400" t="s">
        <v>2022</v>
      </c>
      <c r="C3" s="396"/>
      <c r="D3" s="5"/>
      <c r="E3" s="5"/>
      <c r="F3" s="5"/>
      <c r="G3" s="5"/>
      <c r="H3" s="5"/>
      <c r="I3" s="5"/>
      <c r="J3" s="5"/>
      <c r="K3" s="5"/>
      <c r="L3" s="5"/>
      <c r="M3" s="5"/>
      <c r="N3" s="5"/>
      <c r="O3" s="5"/>
      <c r="P3" s="5"/>
    </row>
    <row r="4" spans="1:16" ht="37.5" hidden="1" customHeight="1" x14ac:dyDescent="0.25">
      <c r="A4" s="223" t="s">
        <v>2023</v>
      </c>
      <c r="B4" s="395" t="s">
        <v>2024</v>
      </c>
      <c r="C4" s="396"/>
      <c r="D4" s="5"/>
      <c r="E4" s="5"/>
      <c r="F4" s="5"/>
      <c r="G4" s="5"/>
      <c r="H4" s="5"/>
      <c r="I4" s="5"/>
      <c r="J4" s="5"/>
      <c r="K4" s="5"/>
      <c r="L4" s="5"/>
      <c r="M4" s="5"/>
      <c r="N4" s="5"/>
      <c r="O4" s="5"/>
      <c r="P4" s="5"/>
    </row>
    <row r="5" spans="1:16" ht="48" hidden="1" customHeight="1" x14ac:dyDescent="0.25">
      <c r="A5" s="223" t="s">
        <v>2023</v>
      </c>
      <c r="B5" s="395" t="s">
        <v>2025</v>
      </c>
      <c r="C5" s="396"/>
      <c r="D5" s="5"/>
      <c r="E5" s="5"/>
      <c r="F5" s="5"/>
      <c r="G5" s="5"/>
      <c r="H5" s="5"/>
      <c r="I5" s="5"/>
      <c r="J5" s="5"/>
      <c r="K5" s="5"/>
      <c r="L5" s="5"/>
      <c r="M5" s="5"/>
      <c r="N5" s="5"/>
      <c r="O5" s="5"/>
      <c r="P5" s="5"/>
    </row>
    <row r="6" spans="1:16" ht="59.25" hidden="1" customHeight="1" x14ac:dyDescent="0.25">
      <c r="A6" s="223" t="s">
        <v>2023</v>
      </c>
      <c r="B6" s="395" t="s">
        <v>2026</v>
      </c>
      <c r="C6" s="396"/>
      <c r="D6" s="5"/>
      <c r="E6" s="5"/>
      <c r="F6" s="5"/>
      <c r="G6" s="5"/>
      <c r="H6" s="5"/>
      <c r="I6" s="5"/>
      <c r="J6" s="5"/>
      <c r="K6" s="5"/>
      <c r="L6" s="5"/>
      <c r="M6" s="5"/>
      <c r="N6" s="5"/>
      <c r="O6" s="5"/>
      <c r="P6" s="5"/>
    </row>
    <row r="7" spans="1:16" ht="48" hidden="1" customHeight="1" x14ac:dyDescent="0.25">
      <c r="A7" s="223" t="s">
        <v>2027</v>
      </c>
      <c r="B7" s="395" t="s">
        <v>2028</v>
      </c>
      <c r="C7" s="396"/>
      <c r="D7" s="5"/>
      <c r="E7" s="5"/>
      <c r="F7" s="5"/>
      <c r="G7" s="5"/>
      <c r="H7" s="5"/>
      <c r="I7" s="5"/>
      <c r="J7" s="5"/>
      <c r="K7" s="5"/>
      <c r="L7" s="5"/>
      <c r="M7" s="5"/>
      <c r="N7" s="5"/>
      <c r="O7" s="5"/>
      <c r="P7" s="5"/>
    </row>
    <row r="8" spans="1:16" ht="41.25" hidden="1" customHeight="1" x14ac:dyDescent="0.25">
      <c r="A8" s="223" t="s">
        <v>2029</v>
      </c>
      <c r="B8" s="395" t="s">
        <v>2030</v>
      </c>
      <c r="C8" s="396"/>
      <c r="D8" s="5"/>
      <c r="E8" s="5"/>
      <c r="F8" s="5"/>
      <c r="G8" s="5"/>
      <c r="H8" s="5"/>
      <c r="I8" s="5"/>
      <c r="J8" s="5"/>
      <c r="K8" s="5"/>
      <c r="L8" s="5"/>
      <c r="M8" s="5"/>
      <c r="N8" s="5"/>
      <c r="O8" s="5"/>
      <c r="P8" s="5"/>
    </row>
    <row r="9" spans="1:16" ht="59.25" hidden="1" customHeight="1" x14ac:dyDescent="0.25">
      <c r="A9" s="223" t="s">
        <v>2031</v>
      </c>
      <c r="B9" s="395" t="s">
        <v>2032</v>
      </c>
      <c r="C9" s="396"/>
      <c r="D9" s="5"/>
      <c r="E9" s="5"/>
      <c r="F9" s="5"/>
      <c r="G9" s="5"/>
      <c r="H9" s="5"/>
      <c r="I9" s="5"/>
      <c r="J9" s="5"/>
      <c r="K9" s="5"/>
      <c r="L9" s="5"/>
      <c r="M9" s="5"/>
      <c r="N9" s="5"/>
      <c r="O9" s="5"/>
      <c r="P9" s="5"/>
    </row>
    <row r="10" spans="1:16" ht="61.5" hidden="1" customHeight="1" x14ac:dyDescent="0.25">
      <c r="A10" s="223" t="s">
        <v>2031</v>
      </c>
      <c r="B10" s="395" t="s">
        <v>2033</v>
      </c>
      <c r="C10" s="396"/>
      <c r="D10" s="5"/>
      <c r="E10" s="5"/>
      <c r="F10" s="5"/>
      <c r="G10" s="5"/>
      <c r="H10" s="5"/>
      <c r="I10" s="5"/>
      <c r="J10" s="5"/>
      <c r="K10" s="5"/>
      <c r="L10" s="5"/>
      <c r="M10" s="5"/>
      <c r="N10" s="5"/>
      <c r="O10" s="5"/>
      <c r="P10" s="5"/>
    </row>
    <row r="11" spans="1:16" ht="43.5" hidden="1" customHeight="1" x14ac:dyDescent="0.25">
      <c r="A11" s="223" t="s">
        <v>2031</v>
      </c>
      <c r="B11" s="395" t="s">
        <v>2034</v>
      </c>
      <c r="C11" s="396"/>
      <c r="D11" s="5"/>
      <c r="E11" s="5"/>
      <c r="F11" s="5"/>
      <c r="G11" s="5"/>
      <c r="H11" s="5"/>
      <c r="I11" s="5"/>
      <c r="J11" s="5"/>
      <c r="K11" s="5"/>
      <c r="L11" s="5"/>
      <c r="M11" s="5"/>
      <c r="N11" s="5"/>
      <c r="O11" s="5"/>
      <c r="P11" s="5"/>
    </row>
    <row r="12" spans="1:16" ht="27.75" hidden="1" customHeight="1" x14ac:dyDescent="0.25">
      <c r="A12" s="223" t="s">
        <v>2035</v>
      </c>
      <c r="B12" s="395" t="s">
        <v>2036</v>
      </c>
      <c r="C12" s="396"/>
      <c r="D12" s="5"/>
      <c r="E12" s="5"/>
      <c r="F12" s="5"/>
      <c r="G12" s="5"/>
      <c r="H12" s="5"/>
      <c r="I12" s="5"/>
      <c r="J12" s="5"/>
      <c r="K12" s="5"/>
      <c r="L12" s="5"/>
      <c r="M12" s="5"/>
      <c r="N12" s="5"/>
      <c r="O12" s="5"/>
      <c r="P12" s="5"/>
    </row>
    <row r="13" spans="1:16" ht="27.75" hidden="1" customHeight="1" x14ac:dyDescent="0.25">
      <c r="A13" s="223" t="s">
        <v>2037</v>
      </c>
      <c r="B13" s="395" t="s">
        <v>2038</v>
      </c>
      <c r="C13" s="396"/>
      <c r="D13" s="5"/>
      <c r="E13" s="5"/>
      <c r="F13" s="5"/>
      <c r="G13" s="5"/>
      <c r="H13" s="5"/>
      <c r="I13" s="5"/>
      <c r="J13" s="5"/>
      <c r="K13" s="5"/>
      <c r="L13" s="5"/>
      <c r="M13" s="5"/>
      <c r="N13" s="5"/>
      <c r="O13" s="5"/>
      <c r="P13" s="5"/>
    </row>
    <row r="14" spans="1:16" ht="45.75" hidden="1" customHeight="1" x14ac:dyDescent="0.25">
      <c r="A14" s="223" t="s">
        <v>2039</v>
      </c>
      <c r="B14" s="395" t="s">
        <v>2040</v>
      </c>
      <c r="C14" s="396"/>
      <c r="D14" s="5"/>
      <c r="E14" s="5"/>
      <c r="F14" s="5"/>
      <c r="G14" s="5"/>
      <c r="H14" s="5"/>
      <c r="I14" s="5"/>
      <c r="J14" s="5"/>
      <c r="K14" s="5"/>
      <c r="L14" s="5"/>
      <c r="M14" s="5"/>
      <c r="N14" s="5"/>
      <c r="O14" s="5"/>
      <c r="P14" s="5"/>
    </row>
    <row r="15" spans="1:16" ht="45.75" hidden="1" customHeight="1" x14ac:dyDescent="0.25">
      <c r="A15" s="223" t="s">
        <v>2041</v>
      </c>
      <c r="B15" s="395" t="s">
        <v>2042</v>
      </c>
      <c r="C15" s="396"/>
      <c r="D15" s="5"/>
      <c r="E15" s="5"/>
      <c r="F15" s="5"/>
      <c r="G15" s="5"/>
      <c r="H15" s="5"/>
      <c r="I15" s="5"/>
      <c r="J15" s="5"/>
      <c r="K15" s="5"/>
      <c r="L15" s="5"/>
      <c r="M15" s="5"/>
      <c r="N15" s="5"/>
      <c r="O15" s="5"/>
      <c r="P15" s="5"/>
    </row>
    <row r="16" spans="1:16" ht="51" hidden="1" customHeight="1" x14ac:dyDescent="0.25">
      <c r="A16" s="223" t="s">
        <v>2043</v>
      </c>
      <c r="B16" s="395" t="s">
        <v>2044</v>
      </c>
      <c r="C16" s="396"/>
      <c r="D16" s="5"/>
      <c r="E16" s="5"/>
      <c r="F16" s="5"/>
      <c r="G16" s="5"/>
      <c r="H16" s="5"/>
      <c r="I16" s="5"/>
      <c r="J16" s="5"/>
      <c r="K16" s="5"/>
      <c r="L16" s="5"/>
      <c r="M16" s="5"/>
      <c r="N16" s="5"/>
      <c r="O16" s="5"/>
      <c r="P16" s="5"/>
    </row>
    <row r="17" spans="1:16" ht="27.75" hidden="1" customHeight="1" x14ac:dyDescent="0.25">
      <c r="A17" s="223" t="s">
        <v>2045</v>
      </c>
      <c r="B17" s="395" t="s">
        <v>2046</v>
      </c>
      <c r="C17" s="396"/>
      <c r="D17" s="5"/>
      <c r="E17" s="5"/>
      <c r="F17" s="5"/>
      <c r="G17" s="5"/>
      <c r="H17" s="5"/>
      <c r="I17" s="5"/>
      <c r="J17" s="5"/>
      <c r="K17" s="5"/>
      <c r="L17" s="5"/>
      <c r="M17" s="5"/>
      <c r="N17" s="5"/>
      <c r="O17" s="5"/>
      <c r="P17" s="5"/>
    </row>
    <row r="18" spans="1:16" ht="27.75" hidden="1" customHeight="1" x14ac:dyDescent="0.25">
      <c r="A18" s="223" t="s">
        <v>2047</v>
      </c>
      <c r="B18" s="395" t="s">
        <v>2048</v>
      </c>
      <c r="C18" s="396"/>
      <c r="D18" s="5"/>
      <c r="E18" s="5"/>
      <c r="F18" s="5"/>
      <c r="G18" s="5"/>
      <c r="H18" s="5"/>
      <c r="I18" s="5"/>
      <c r="J18" s="5"/>
      <c r="K18" s="5"/>
      <c r="L18" s="5"/>
      <c r="M18" s="5"/>
      <c r="N18" s="5"/>
      <c r="O18" s="5"/>
      <c r="P18" s="5"/>
    </row>
    <row r="19" spans="1:16" ht="45" hidden="1" customHeight="1" x14ac:dyDescent="0.25">
      <c r="A19" s="223" t="s">
        <v>2047</v>
      </c>
      <c r="B19" s="395" t="s">
        <v>2049</v>
      </c>
      <c r="C19" s="396"/>
      <c r="D19" s="5"/>
      <c r="E19" s="5"/>
      <c r="F19" s="5"/>
      <c r="G19" s="5"/>
      <c r="H19" s="5"/>
      <c r="I19" s="5"/>
      <c r="J19" s="5"/>
      <c r="K19" s="5"/>
      <c r="L19" s="5"/>
      <c r="M19" s="5"/>
      <c r="N19" s="5"/>
      <c r="O19" s="5"/>
      <c r="P19" s="5"/>
    </row>
    <row r="20" spans="1:16" ht="45" hidden="1" customHeight="1" x14ac:dyDescent="0.25">
      <c r="A20" s="223" t="s">
        <v>2050</v>
      </c>
      <c r="B20" s="395" t="s">
        <v>2051</v>
      </c>
      <c r="C20" s="396"/>
      <c r="D20" s="5"/>
      <c r="E20" s="5"/>
      <c r="F20" s="5"/>
      <c r="G20" s="5"/>
      <c r="H20" s="5"/>
      <c r="I20" s="5"/>
      <c r="J20" s="5"/>
      <c r="K20" s="5"/>
      <c r="L20" s="5"/>
      <c r="M20" s="5"/>
      <c r="N20" s="5"/>
      <c r="O20" s="5"/>
      <c r="P20" s="5"/>
    </row>
    <row r="21" spans="1:16" ht="30" hidden="1" customHeight="1" x14ac:dyDescent="0.25">
      <c r="A21" s="223" t="s">
        <v>2052</v>
      </c>
      <c r="B21" s="395" t="s">
        <v>2053</v>
      </c>
      <c r="C21" s="396"/>
      <c r="D21" s="5"/>
      <c r="E21" s="5"/>
      <c r="F21" s="5"/>
      <c r="G21" s="5"/>
      <c r="H21" s="5"/>
      <c r="I21" s="5"/>
      <c r="J21" s="5"/>
      <c r="K21" s="5"/>
      <c r="L21" s="5"/>
      <c r="M21" s="5"/>
      <c r="N21" s="5"/>
      <c r="O21" s="5"/>
      <c r="P21" s="5"/>
    </row>
    <row r="22" spans="1:16" ht="30" hidden="1" customHeight="1" x14ac:dyDescent="0.25">
      <c r="A22" s="223" t="s">
        <v>2054</v>
      </c>
      <c r="B22" s="395" t="s">
        <v>2055</v>
      </c>
      <c r="C22" s="396"/>
      <c r="D22" s="5"/>
      <c r="E22" s="5"/>
      <c r="F22" s="5"/>
      <c r="G22" s="5"/>
      <c r="H22" s="5"/>
      <c r="I22" s="5"/>
      <c r="J22" s="5"/>
      <c r="K22" s="5"/>
      <c r="L22" s="5"/>
      <c r="M22" s="5"/>
      <c r="N22" s="5"/>
      <c r="O22" s="5"/>
      <c r="P22" s="5"/>
    </row>
    <row r="23" spans="1:16" ht="30" hidden="1" customHeight="1" x14ac:dyDescent="0.25">
      <c r="A23" s="223" t="s">
        <v>2056</v>
      </c>
      <c r="B23" s="395" t="s">
        <v>2057</v>
      </c>
      <c r="C23" s="396"/>
      <c r="D23" s="5"/>
      <c r="E23" s="5"/>
      <c r="F23" s="5"/>
      <c r="G23" s="5"/>
      <c r="H23" s="5"/>
      <c r="I23" s="5"/>
      <c r="J23" s="5"/>
      <c r="K23" s="5"/>
      <c r="L23" s="5"/>
      <c r="M23" s="5"/>
      <c r="N23" s="5"/>
      <c r="O23" s="5"/>
      <c r="P23" s="5"/>
    </row>
    <row r="24" spans="1:16" ht="30" hidden="1" customHeight="1" x14ac:dyDescent="0.25">
      <c r="A24" s="223" t="s">
        <v>2058</v>
      </c>
      <c r="B24" s="395" t="s">
        <v>2059</v>
      </c>
      <c r="C24" s="396"/>
      <c r="D24" s="5"/>
      <c r="E24" s="5"/>
      <c r="F24" s="5"/>
      <c r="G24" s="5"/>
      <c r="H24" s="5"/>
      <c r="I24" s="5"/>
      <c r="J24" s="5"/>
      <c r="K24" s="5"/>
      <c r="L24" s="5"/>
      <c r="M24" s="5"/>
      <c r="N24" s="5"/>
      <c r="O24" s="5"/>
      <c r="P24" s="5"/>
    </row>
    <row r="25" spans="1:16" ht="30" hidden="1" customHeight="1" x14ac:dyDescent="0.25">
      <c r="A25" s="223" t="s">
        <v>2060</v>
      </c>
      <c r="B25" s="395" t="s">
        <v>2061</v>
      </c>
      <c r="C25" s="396"/>
      <c r="D25" s="5"/>
      <c r="E25" s="5"/>
      <c r="F25" s="5"/>
      <c r="G25" s="5"/>
      <c r="H25" s="5"/>
      <c r="I25" s="5"/>
      <c r="J25" s="5"/>
      <c r="K25" s="5"/>
      <c r="L25" s="5"/>
      <c r="M25" s="5"/>
      <c r="N25" s="5"/>
      <c r="O25" s="5"/>
      <c r="P25" s="5"/>
    </row>
    <row r="26" spans="1:16" ht="30" hidden="1" customHeight="1" x14ac:dyDescent="0.25">
      <c r="A26" s="223" t="s">
        <v>2062</v>
      </c>
      <c r="B26" s="395" t="s">
        <v>2063</v>
      </c>
      <c r="C26" s="396"/>
      <c r="D26" s="5"/>
      <c r="E26" s="5"/>
      <c r="F26" s="5"/>
      <c r="G26" s="5"/>
      <c r="H26" s="5"/>
      <c r="I26" s="5"/>
      <c r="J26" s="5"/>
      <c r="K26" s="5"/>
      <c r="L26" s="5"/>
      <c r="M26" s="5"/>
      <c r="N26" s="5"/>
      <c r="O26" s="5"/>
      <c r="P26" s="5"/>
    </row>
    <row r="27" spans="1:16" ht="70.5" hidden="1" customHeight="1" x14ac:dyDescent="0.25">
      <c r="A27" s="223" t="s">
        <v>2064</v>
      </c>
      <c r="B27" s="395" t="s">
        <v>2065</v>
      </c>
      <c r="C27" s="396"/>
      <c r="D27" s="5"/>
      <c r="E27" s="5"/>
      <c r="F27" s="5"/>
      <c r="G27" s="5"/>
      <c r="H27" s="5"/>
      <c r="I27" s="5"/>
      <c r="J27" s="5"/>
      <c r="K27" s="5"/>
      <c r="L27" s="5"/>
      <c r="M27" s="5"/>
      <c r="N27" s="5"/>
      <c r="O27" s="5"/>
      <c r="P27" s="5"/>
    </row>
    <row r="28" spans="1:16" ht="48" hidden="1" customHeight="1" x14ac:dyDescent="0.25">
      <c r="A28" s="223" t="s">
        <v>2066</v>
      </c>
      <c r="B28" s="395" t="s">
        <v>2067</v>
      </c>
      <c r="C28" s="396"/>
      <c r="D28" s="5"/>
      <c r="E28" s="5"/>
      <c r="F28" s="5"/>
      <c r="G28" s="5"/>
      <c r="H28" s="5"/>
      <c r="I28" s="5"/>
      <c r="J28" s="5"/>
      <c r="K28" s="5"/>
      <c r="L28" s="5"/>
      <c r="M28" s="5"/>
      <c r="N28" s="5"/>
      <c r="O28" s="5"/>
      <c r="P28" s="5"/>
    </row>
    <row r="29" spans="1:16" ht="100.5" hidden="1" customHeight="1" x14ac:dyDescent="0.25">
      <c r="A29" s="223" t="s">
        <v>2068</v>
      </c>
      <c r="B29" s="395" t="s">
        <v>2069</v>
      </c>
      <c r="C29" s="396"/>
      <c r="D29" s="5"/>
      <c r="E29" s="5"/>
      <c r="F29" s="5"/>
      <c r="G29" s="5"/>
      <c r="H29" s="5"/>
      <c r="I29" s="5"/>
      <c r="J29" s="5"/>
      <c r="K29" s="5"/>
      <c r="L29" s="5"/>
      <c r="M29" s="5"/>
      <c r="N29" s="5"/>
      <c r="O29" s="5"/>
      <c r="P29" s="5"/>
    </row>
    <row r="30" spans="1:16" ht="45" hidden="1" customHeight="1" x14ac:dyDescent="0.25">
      <c r="A30" s="223" t="s">
        <v>2070</v>
      </c>
      <c r="B30" s="395" t="s">
        <v>2071</v>
      </c>
      <c r="C30" s="396"/>
      <c r="D30" s="5"/>
      <c r="E30" s="5"/>
      <c r="F30" s="5"/>
      <c r="G30" s="5"/>
      <c r="H30" s="5"/>
      <c r="I30" s="5"/>
      <c r="J30" s="5"/>
      <c r="K30" s="5"/>
      <c r="L30" s="5"/>
      <c r="M30" s="5"/>
      <c r="N30" s="5"/>
      <c r="O30" s="5"/>
      <c r="P30" s="5"/>
    </row>
    <row r="31" spans="1:16" ht="45" hidden="1" customHeight="1" x14ac:dyDescent="0.25">
      <c r="A31" s="223" t="s">
        <v>2072</v>
      </c>
      <c r="B31" s="395" t="s">
        <v>2073</v>
      </c>
      <c r="C31" s="396"/>
      <c r="D31" s="5"/>
      <c r="E31" s="5"/>
      <c r="F31" s="5"/>
      <c r="G31" s="5"/>
      <c r="H31" s="5"/>
      <c r="I31" s="5"/>
      <c r="J31" s="5"/>
      <c r="K31" s="5"/>
      <c r="L31" s="5"/>
      <c r="M31" s="5"/>
      <c r="N31" s="5"/>
      <c r="O31" s="5"/>
      <c r="P31" s="5"/>
    </row>
    <row r="32" spans="1:16" ht="45" hidden="1" customHeight="1" x14ac:dyDescent="0.25">
      <c r="A32" s="223" t="s">
        <v>2074</v>
      </c>
      <c r="B32" s="395" t="s">
        <v>2075</v>
      </c>
      <c r="C32" s="396"/>
      <c r="D32" s="5"/>
      <c r="E32" s="5"/>
      <c r="F32" s="5"/>
      <c r="G32" s="5"/>
      <c r="H32" s="5"/>
      <c r="I32" s="5"/>
      <c r="J32" s="5"/>
      <c r="K32" s="5"/>
      <c r="L32" s="5"/>
      <c r="M32" s="5"/>
      <c r="N32" s="5"/>
      <c r="O32" s="5"/>
      <c r="P32" s="5"/>
    </row>
    <row r="33" spans="1:16" ht="72" hidden="1" customHeight="1" x14ac:dyDescent="0.25">
      <c r="A33" s="223" t="s">
        <v>2076</v>
      </c>
      <c r="B33" s="395" t="s">
        <v>2077</v>
      </c>
      <c r="C33" s="396"/>
      <c r="D33" s="5"/>
      <c r="E33" s="5"/>
      <c r="F33" s="5"/>
      <c r="G33" s="5"/>
      <c r="H33" s="5"/>
      <c r="I33" s="5"/>
      <c r="J33" s="5"/>
      <c r="K33" s="5"/>
      <c r="L33" s="5"/>
      <c r="M33" s="5"/>
      <c r="N33" s="5"/>
      <c r="O33" s="5"/>
      <c r="P33" s="5"/>
    </row>
    <row r="34" spans="1:16" ht="79.5" hidden="1" customHeight="1" x14ac:dyDescent="0.25">
      <c r="A34" s="223" t="s">
        <v>2078</v>
      </c>
      <c r="B34" s="395" t="s">
        <v>2079</v>
      </c>
      <c r="C34" s="396"/>
      <c r="D34" s="5"/>
      <c r="E34" s="5"/>
      <c r="F34" s="5"/>
      <c r="G34" s="5"/>
      <c r="H34" s="5"/>
      <c r="I34" s="5"/>
      <c r="J34" s="5"/>
      <c r="K34" s="5"/>
      <c r="L34" s="5"/>
      <c r="M34" s="5"/>
      <c r="N34" s="5"/>
      <c r="O34" s="5"/>
      <c r="P34" s="5"/>
    </row>
    <row r="35" spans="1:16" ht="70.5" hidden="1" customHeight="1" x14ac:dyDescent="0.25">
      <c r="A35" s="223" t="s">
        <v>2080</v>
      </c>
      <c r="B35" s="395" t="s">
        <v>2081</v>
      </c>
      <c r="C35" s="396"/>
      <c r="D35" s="5"/>
      <c r="E35" s="5"/>
      <c r="F35" s="5"/>
      <c r="G35" s="5"/>
      <c r="H35" s="5"/>
      <c r="I35" s="5"/>
      <c r="J35" s="5"/>
      <c r="K35" s="5"/>
      <c r="L35" s="5"/>
      <c r="M35" s="5"/>
      <c r="N35" s="5"/>
      <c r="O35" s="5"/>
      <c r="P35" s="5"/>
    </row>
    <row r="36" spans="1:16" ht="45.75" hidden="1" customHeight="1" x14ac:dyDescent="0.25">
      <c r="A36" s="223" t="s">
        <v>2082</v>
      </c>
      <c r="B36" s="395" t="s">
        <v>2083</v>
      </c>
      <c r="C36" s="396"/>
      <c r="D36" s="5"/>
      <c r="E36" s="5"/>
      <c r="F36" s="5"/>
      <c r="G36" s="5"/>
      <c r="H36" s="5"/>
      <c r="I36" s="5"/>
      <c r="J36" s="5"/>
      <c r="K36" s="5"/>
      <c r="L36" s="5"/>
      <c r="M36" s="5"/>
      <c r="N36" s="5"/>
      <c r="O36" s="5"/>
      <c r="P36" s="5"/>
    </row>
    <row r="37" spans="1:16" ht="54.75" hidden="1" customHeight="1" x14ac:dyDescent="0.25">
      <c r="A37" s="223" t="s">
        <v>2084</v>
      </c>
      <c r="B37" s="395" t="s">
        <v>2085</v>
      </c>
      <c r="C37" s="396"/>
      <c r="D37" s="5"/>
      <c r="E37" s="5"/>
      <c r="F37" s="5"/>
      <c r="G37" s="5"/>
      <c r="H37" s="5"/>
      <c r="I37" s="5"/>
      <c r="J37" s="5"/>
      <c r="K37" s="5"/>
      <c r="L37" s="5"/>
      <c r="M37" s="5"/>
      <c r="N37" s="5"/>
      <c r="O37" s="5"/>
      <c r="P37" s="5"/>
    </row>
    <row r="38" spans="1:16" ht="37.5" hidden="1" customHeight="1" x14ac:dyDescent="0.25">
      <c r="A38" s="223" t="s">
        <v>2086</v>
      </c>
      <c r="B38" s="395" t="s">
        <v>2087</v>
      </c>
      <c r="C38" s="396"/>
      <c r="D38" s="5"/>
      <c r="E38" s="5"/>
      <c r="F38" s="5"/>
      <c r="G38" s="5"/>
      <c r="H38" s="5"/>
      <c r="I38" s="5"/>
      <c r="J38" s="5"/>
      <c r="K38" s="5"/>
      <c r="L38" s="5"/>
      <c r="M38" s="5"/>
      <c r="N38" s="5"/>
      <c r="O38" s="5"/>
      <c r="P38" s="5"/>
    </row>
    <row r="39" spans="1:16" ht="61.5" hidden="1" customHeight="1" x14ac:dyDescent="0.25">
      <c r="A39" s="223" t="s">
        <v>2088</v>
      </c>
      <c r="B39" s="395" t="s">
        <v>2089</v>
      </c>
      <c r="C39" s="396"/>
      <c r="D39" s="5"/>
      <c r="E39" s="5"/>
      <c r="F39" s="5"/>
      <c r="G39" s="5"/>
      <c r="H39" s="5"/>
      <c r="I39" s="5"/>
      <c r="J39" s="5"/>
      <c r="K39" s="5"/>
      <c r="L39" s="5"/>
      <c r="M39" s="5"/>
      <c r="N39" s="5"/>
      <c r="O39" s="5"/>
      <c r="P39" s="5"/>
    </row>
    <row r="40" spans="1:16" ht="53.25" hidden="1" customHeight="1" x14ac:dyDescent="0.25">
      <c r="A40" s="223" t="s">
        <v>2090</v>
      </c>
      <c r="B40" s="395" t="s">
        <v>2091</v>
      </c>
      <c r="C40" s="396"/>
      <c r="D40" s="5"/>
      <c r="E40" s="5"/>
      <c r="F40" s="5"/>
      <c r="G40" s="5"/>
      <c r="H40" s="5"/>
      <c r="I40" s="5"/>
      <c r="J40" s="5"/>
      <c r="K40" s="5"/>
      <c r="L40" s="5"/>
      <c r="M40" s="5"/>
      <c r="N40" s="5"/>
      <c r="O40" s="5"/>
      <c r="P40" s="5"/>
    </row>
    <row r="41" spans="1:16" ht="73.5" hidden="1" customHeight="1" x14ac:dyDescent="0.25">
      <c r="A41" s="223" t="s">
        <v>2092</v>
      </c>
      <c r="B41" s="395" t="s">
        <v>2093</v>
      </c>
      <c r="C41" s="396"/>
      <c r="D41" s="5"/>
      <c r="E41" s="5"/>
      <c r="F41" s="5"/>
      <c r="G41" s="5"/>
      <c r="H41" s="5"/>
      <c r="I41" s="5"/>
      <c r="J41" s="5"/>
      <c r="K41" s="5"/>
      <c r="L41" s="5"/>
      <c r="M41" s="5"/>
      <c r="N41" s="5"/>
      <c r="O41" s="5"/>
      <c r="P41" s="5"/>
    </row>
    <row r="42" spans="1:16" ht="57.75" hidden="1" customHeight="1" x14ac:dyDescent="0.25">
      <c r="A42" s="223" t="s">
        <v>2094</v>
      </c>
      <c r="B42" s="395" t="s">
        <v>2095</v>
      </c>
      <c r="C42" s="396"/>
      <c r="D42" s="5"/>
      <c r="E42" s="5"/>
      <c r="F42" s="5"/>
      <c r="G42" s="5"/>
      <c r="H42" s="5"/>
      <c r="I42" s="5"/>
      <c r="J42" s="5"/>
      <c r="K42" s="5"/>
      <c r="L42" s="5"/>
      <c r="M42" s="5"/>
      <c r="N42" s="5"/>
      <c r="O42" s="5"/>
      <c r="P42" s="5"/>
    </row>
    <row r="43" spans="1:16" ht="84" hidden="1" customHeight="1" x14ac:dyDescent="0.25">
      <c r="A43" s="223" t="s">
        <v>2096</v>
      </c>
      <c r="B43" s="395" t="s">
        <v>2097</v>
      </c>
      <c r="C43" s="396"/>
      <c r="D43" s="5"/>
      <c r="E43" s="5"/>
      <c r="F43" s="5"/>
      <c r="G43" s="5"/>
      <c r="H43" s="5"/>
      <c r="I43" s="5"/>
      <c r="J43" s="5"/>
      <c r="K43" s="5"/>
      <c r="L43" s="5"/>
      <c r="M43" s="5"/>
      <c r="N43" s="5"/>
      <c r="O43" s="5"/>
      <c r="P43" s="5"/>
    </row>
    <row r="44" spans="1:16" ht="48" hidden="1" customHeight="1" x14ac:dyDescent="0.25">
      <c r="A44" s="223" t="s">
        <v>2098</v>
      </c>
      <c r="B44" s="395" t="s">
        <v>2099</v>
      </c>
      <c r="C44" s="396"/>
      <c r="D44" s="5"/>
      <c r="E44" s="5"/>
      <c r="F44" s="5"/>
      <c r="G44" s="5"/>
      <c r="H44" s="5"/>
      <c r="I44" s="5"/>
      <c r="J44" s="5"/>
      <c r="K44" s="5"/>
      <c r="L44" s="5"/>
      <c r="M44" s="5"/>
      <c r="N44" s="5"/>
      <c r="O44" s="5"/>
      <c r="P44" s="5"/>
    </row>
    <row r="45" spans="1:16" ht="57" hidden="1" customHeight="1" x14ac:dyDescent="0.25">
      <c r="A45" s="223" t="s">
        <v>2100</v>
      </c>
      <c r="B45" s="395" t="s">
        <v>2101</v>
      </c>
      <c r="C45" s="396"/>
      <c r="D45" s="5"/>
      <c r="E45" s="5"/>
      <c r="F45" s="5"/>
      <c r="G45" s="5"/>
      <c r="H45" s="5"/>
      <c r="I45" s="5"/>
      <c r="J45" s="5"/>
      <c r="K45" s="5"/>
      <c r="L45" s="5"/>
      <c r="M45" s="5"/>
      <c r="N45" s="5"/>
      <c r="O45" s="5"/>
      <c r="P45" s="5"/>
    </row>
    <row r="46" spans="1:16" ht="73.5" hidden="1" customHeight="1" x14ac:dyDescent="0.25">
      <c r="A46" s="223" t="s">
        <v>2102</v>
      </c>
      <c r="B46" s="406" t="s">
        <v>2103</v>
      </c>
      <c r="C46" s="396"/>
      <c r="D46" s="5"/>
      <c r="E46" s="5"/>
      <c r="F46" s="5"/>
      <c r="G46" s="5"/>
      <c r="H46" s="5"/>
      <c r="I46" s="5"/>
      <c r="J46" s="5"/>
      <c r="K46" s="5"/>
      <c r="L46" s="5"/>
      <c r="M46" s="5"/>
      <c r="N46" s="5"/>
      <c r="O46" s="5"/>
      <c r="P46" s="5"/>
    </row>
    <row r="47" spans="1:16" ht="66" hidden="1" customHeight="1" x14ac:dyDescent="0.25">
      <c r="A47" s="39" t="s">
        <v>2104</v>
      </c>
      <c r="B47" s="407" t="s">
        <v>2105</v>
      </c>
      <c r="C47" s="407"/>
      <c r="D47" s="5"/>
      <c r="E47" s="5"/>
      <c r="F47" s="5"/>
      <c r="G47" s="5"/>
      <c r="H47" s="5"/>
      <c r="I47" s="5"/>
      <c r="J47" s="5"/>
      <c r="K47" s="5"/>
      <c r="L47" s="5"/>
      <c r="M47" s="5"/>
      <c r="N47" s="5"/>
      <c r="O47" s="5"/>
      <c r="P47" s="5"/>
    </row>
    <row r="48" spans="1:16" ht="123.75" customHeight="1" x14ac:dyDescent="0.25">
      <c r="A48" s="202" t="s">
        <v>2106</v>
      </c>
      <c r="B48" s="405" t="s">
        <v>2107</v>
      </c>
      <c r="C48" s="404"/>
      <c r="D48" s="5"/>
      <c r="E48" s="5"/>
      <c r="F48" s="5"/>
      <c r="G48" s="5"/>
      <c r="H48" s="5"/>
      <c r="I48" s="5"/>
      <c r="J48" s="5"/>
      <c r="K48" s="5"/>
      <c r="L48" s="5"/>
      <c r="M48" s="5"/>
      <c r="N48" s="5"/>
      <c r="O48" s="5"/>
      <c r="P48" s="5"/>
    </row>
    <row r="49" spans="1:16" ht="34.5" customHeight="1" x14ac:dyDescent="0.25">
      <c r="A49" s="202" t="s">
        <v>2108</v>
      </c>
      <c r="B49" s="403" t="s">
        <v>2109</v>
      </c>
      <c r="C49" s="404"/>
      <c r="D49" s="5"/>
      <c r="E49" s="5"/>
      <c r="F49" s="5"/>
      <c r="G49" s="5"/>
      <c r="H49" s="5"/>
      <c r="I49" s="5"/>
      <c r="J49" s="5"/>
      <c r="K49" s="5"/>
      <c r="L49" s="5"/>
      <c r="M49" s="5"/>
      <c r="N49" s="5"/>
      <c r="O49" s="5"/>
      <c r="P49" s="5"/>
    </row>
    <row r="50" spans="1:16" ht="34.5" customHeight="1" x14ac:dyDescent="0.25">
      <c r="A50" s="202" t="s">
        <v>2110</v>
      </c>
      <c r="B50" s="403" t="s">
        <v>2111</v>
      </c>
      <c r="C50" s="404"/>
      <c r="D50" s="5"/>
      <c r="E50" s="5"/>
      <c r="F50" s="5"/>
      <c r="G50" s="5"/>
      <c r="H50" s="5"/>
      <c r="I50" s="5"/>
      <c r="J50" s="5"/>
      <c r="K50" s="5"/>
      <c r="L50" s="5"/>
      <c r="M50" s="5"/>
      <c r="N50" s="5"/>
      <c r="O50" s="5"/>
      <c r="P50" s="5"/>
    </row>
    <row r="51" spans="1:16" ht="31.5" customHeight="1" x14ac:dyDescent="0.25">
      <c r="A51" s="224" t="s">
        <v>2112</v>
      </c>
      <c r="B51" s="395" t="s">
        <v>2113</v>
      </c>
      <c r="C51" s="396"/>
      <c r="D51" s="5"/>
      <c r="E51" s="5"/>
      <c r="F51" s="5"/>
      <c r="G51" s="5"/>
      <c r="H51" s="5"/>
      <c r="I51" s="5"/>
      <c r="J51" s="5"/>
      <c r="K51" s="5"/>
      <c r="L51" s="5"/>
      <c r="M51" s="5"/>
      <c r="N51" s="5"/>
      <c r="O51" s="5"/>
      <c r="P51" s="5"/>
    </row>
    <row r="52" spans="1:16" ht="31.5" customHeight="1" x14ac:dyDescent="0.25">
      <c r="A52" s="224" t="s">
        <v>2114</v>
      </c>
      <c r="B52" s="395" t="s">
        <v>2115</v>
      </c>
      <c r="C52" s="396"/>
      <c r="D52" s="5"/>
      <c r="E52" s="5"/>
      <c r="F52" s="5"/>
      <c r="G52" s="5"/>
      <c r="H52" s="5"/>
      <c r="I52" s="5"/>
      <c r="J52" s="5"/>
      <c r="K52" s="5"/>
      <c r="L52" s="5"/>
      <c r="M52" s="5"/>
      <c r="N52" s="5"/>
      <c r="O52" s="5"/>
      <c r="P52" s="5"/>
    </row>
    <row r="53" spans="1:16" ht="31.5" customHeight="1" x14ac:dyDescent="0.25">
      <c r="A53" s="224" t="s">
        <v>2116</v>
      </c>
      <c r="B53" s="408" t="s">
        <v>2117</v>
      </c>
      <c r="C53" s="409"/>
      <c r="D53" s="5"/>
      <c r="E53" s="5"/>
      <c r="F53" s="5"/>
      <c r="G53" s="5"/>
      <c r="H53" s="5"/>
      <c r="I53" s="5"/>
      <c r="J53" s="5"/>
      <c r="K53" s="5"/>
      <c r="L53" s="5"/>
      <c r="M53" s="5"/>
      <c r="N53" s="5"/>
      <c r="O53" s="5"/>
      <c r="P53" s="5"/>
    </row>
    <row r="54" spans="1:16" ht="31.5" customHeight="1" x14ac:dyDescent="0.25">
      <c r="A54" s="224" t="s">
        <v>2118</v>
      </c>
      <c r="B54" s="408" t="s">
        <v>2119</v>
      </c>
      <c r="C54" s="409"/>
      <c r="D54" s="5"/>
      <c r="E54" s="5"/>
      <c r="F54" s="5"/>
      <c r="G54" s="5"/>
      <c r="H54" s="5"/>
      <c r="I54" s="5"/>
      <c r="J54" s="5"/>
      <c r="K54" s="5"/>
      <c r="L54" s="5"/>
      <c r="M54" s="5"/>
      <c r="N54" s="5"/>
      <c r="O54" s="5"/>
      <c r="P54" s="5"/>
    </row>
    <row r="55" spans="1:16" ht="54.6" customHeight="1" x14ac:dyDescent="0.25">
      <c r="A55" s="224" t="s">
        <v>2120</v>
      </c>
      <c r="B55" s="408" t="s">
        <v>2121</v>
      </c>
      <c r="C55" s="409"/>
      <c r="D55" s="5"/>
      <c r="E55" s="5"/>
      <c r="F55" s="5"/>
      <c r="G55" s="5"/>
      <c r="H55" s="5"/>
      <c r="I55" s="5"/>
      <c r="J55" s="5"/>
      <c r="K55" s="5"/>
      <c r="L55" s="5"/>
      <c r="M55" s="5"/>
      <c r="N55" s="5"/>
      <c r="O55" s="5"/>
      <c r="P55" s="5"/>
    </row>
    <row r="56" spans="1:16" ht="54.6" customHeight="1" x14ac:dyDescent="0.25">
      <c r="A56" s="224" t="s">
        <v>2122</v>
      </c>
      <c r="B56" s="408" t="s">
        <v>2123</v>
      </c>
      <c r="C56" s="409"/>
      <c r="D56" s="5"/>
      <c r="E56" s="5"/>
      <c r="F56" s="5"/>
      <c r="G56" s="5"/>
      <c r="H56" s="5"/>
      <c r="I56" s="5"/>
      <c r="J56" s="5"/>
      <c r="K56" s="5"/>
      <c r="L56" s="5"/>
      <c r="M56" s="5"/>
      <c r="N56" s="5"/>
      <c r="O56" s="5"/>
      <c r="P56" s="5"/>
    </row>
    <row r="57" spans="1:16" ht="54" customHeight="1" x14ac:dyDescent="0.25">
      <c r="A57" s="224" t="s">
        <v>2124</v>
      </c>
      <c r="B57" s="408" t="s">
        <v>2125</v>
      </c>
      <c r="C57" s="409"/>
      <c r="D57" s="5"/>
      <c r="E57" s="5"/>
      <c r="F57" s="5"/>
      <c r="G57" s="5"/>
      <c r="H57" s="5"/>
      <c r="I57" s="5"/>
      <c r="J57" s="5"/>
      <c r="K57" s="5"/>
      <c r="L57" s="5"/>
      <c r="M57" s="5"/>
      <c r="N57" s="5"/>
      <c r="O57" s="5"/>
      <c r="P57" s="5"/>
    </row>
    <row r="58" spans="1:16" ht="31.2" customHeight="1" x14ac:dyDescent="0.25">
      <c r="A58" s="270" t="s">
        <v>2126</v>
      </c>
      <c r="B58" s="401" t="s">
        <v>2127</v>
      </c>
      <c r="C58" s="402"/>
      <c r="D58" s="5"/>
      <c r="E58" s="5"/>
      <c r="F58" s="5"/>
      <c r="G58" s="5"/>
      <c r="H58" s="5"/>
      <c r="I58" s="5"/>
      <c r="J58" s="5"/>
      <c r="K58" s="5"/>
      <c r="L58" s="5"/>
      <c r="M58" s="5"/>
      <c r="N58" s="5"/>
      <c r="O58" s="5"/>
      <c r="P58" s="5"/>
    </row>
    <row r="59" spans="1:16" ht="46.5" customHeight="1" x14ac:dyDescent="0.25">
      <c r="A59" s="302" t="s">
        <v>2128</v>
      </c>
      <c r="B59" s="393" t="s">
        <v>2129</v>
      </c>
      <c r="C59" s="394"/>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115" zoomScaleNormal="11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27062</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3"/>
      <c r="F12" s="326" t="s">
        <v>1984</v>
      </c>
      <c r="G12" s="327"/>
      <c r="H12" s="321" t="s">
        <v>3655</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3"/>
      <c r="F13" s="360" t="s">
        <v>1987</v>
      </c>
      <c r="G13" s="361"/>
      <c r="H13" s="362"/>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5">
      <c r="A17" s="340" t="s">
        <v>1977</v>
      </c>
      <c r="B17" s="359" t="str">
        <f>'PR-RAS'!B6</f>
        <v>PRIHODI POSLOVANJA (šifre 61+62+63+64+65+66+67+68)</v>
      </c>
      <c r="C17" s="355"/>
      <c r="D17" s="355"/>
      <c r="E17" s="355"/>
      <c r="F17" s="356"/>
      <c r="G17" s="28" t="str">
        <f>'PR-RAS'!C6</f>
        <v>6</v>
      </c>
      <c r="H17" s="275">
        <f>'PR-RAS'!D6</f>
        <v>2509527.3400000008</v>
      </c>
      <c r="I17" s="275">
        <f>'PR-RAS'!E6</f>
        <v>2899809.1599999997</v>
      </c>
      <c r="J17" s="5"/>
      <c r="K17" s="5"/>
      <c r="L17" s="5"/>
      <c r="M17" s="5"/>
      <c r="N17" s="5"/>
      <c r="O17" s="5"/>
      <c r="P17" s="5"/>
      <c r="Q17" s="5"/>
      <c r="R17" s="5"/>
      <c r="S17" s="5"/>
      <c r="T17" s="5"/>
      <c r="U17" s="5"/>
      <c r="V17" s="5"/>
      <c r="W17" s="5"/>
    </row>
    <row r="18" spans="1:23" ht="12.75" customHeight="1" x14ac:dyDescent="0.25">
      <c r="A18" s="341"/>
      <c r="B18" s="348" t="str">
        <f>'PR-RAS'!B152</f>
        <v xml:space="preserve">RASHODI POSLOVANJA (šifre 31+32+34+35+36+37+38) </v>
      </c>
      <c r="C18" s="349"/>
      <c r="D18" s="349"/>
      <c r="E18" s="349"/>
      <c r="F18" s="350"/>
      <c r="G18" s="29" t="str">
        <f>'PR-RAS'!C152</f>
        <v>3</v>
      </c>
      <c r="H18" s="275">
        <f>'PR-RAS'!D152</f>
        <v>1282517.6100000001</v>
      </c>
      <c r="I18" s="275">
        <f>'PR-RAS'!E152</f>
        <v>1976608.4499999997</v>
      </c>
      <c r="J18" s="5"/>
      <c r="K18" s="5"/>
      <c r="L18" s="5"/>
      <c r="M18" s="5"/>
      <c r="N18" s="5"/>
      <c r="O18" s="5"/>
      <c r="P18" s="5"/>
      <c r="Q18" s="5"/>
      <c r="R18" s="5"/>
      <c r="S18" s="5"/>
      <c r="T18" s="5"/>
      <c r="U18" s="5"/>
      <c r="V18" s="5"/>
      <c r="W18" s="5"/>
    </row>
    <row r="19" spans="1:23" ht="12.75" customHeight="1" x14ac:dyDescent="0.25">
      <c r="A19" s="341"/>
      <c r="B19" s="348" t="str">
        <f>'PR-RAS'!B649</f>
        <v>Višak prihoda i primitaka raspoloživ u sljedećem razdoblju (šifre X005 + '9221-9222' - Y005 - '9222-9221')</v>
      </c>
      <c r="C19" s="349"/>
      <c r="D19" s="349"/>
      <c r="E19" s="349"/>
      <c r="F19" s="350"/>
      <c r="G19" s="29" t="str">
        <f>'PR-RAS'!C649</f>
        <v>X006</v>
      </c>
      <c r="H19" s="275">
        <f>'PR-RAS'!D649</f>
        <v>1356903.3000000007</v>
      </c>
      <c r="I19" s="275">
        <f>'PR-RAS'!E649</f>
        <v>1782193.5499999996</v>
      </c>
      <c r="J19" s="5"/>
      <c r="K19" s="5"/>
      <c r="L19" s="5"/>
      <c r="M19" s="5"/>
      <c r="N19" s="5"/>
      <c r="O19" s="5"/>
      <c r="P19" s="5"/>
      <c r="Q19" s="5"/>
      <c r="R19" s="5"/>
      <c r="S19" s="5"/>
      <c r="T19" s="5"/>
      <c r="U19" s="5"/>
      <c r="V19" s="5"/>
      <c r="W19" s="5"/>
    </row>
    <row r="20" spans="1:23" ht="12.75" customHeight="1" x14ac:dyDescent="0.25">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3" t="s">
        <v>8</v>
      </c>
      <c r="C21" s="344"/>
      <c r="D21" s="344"/>
      <c r="E21" s="344"/>
      <c r="F21" s="345"/>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0" t="s">
        <v>1980</v>
      </c>
      <c r="B22" s="359" t="str">
        <f>BILANCA!B7</f>
        <v>Nefinancijska imovina (šifre 01+02+03+04+05+06)</v>
      </c>
      <c r="C22" s="355"/>
      <c r="D22" s="355"/>
      <c r="E22" s="355"/>
      <c r="F22" s="356"/>
      <c r="G22" s="126" t="str">
        <f>BILANCA!C7</f>
        <v>B002</v>
      </c>
      <c r="H22" s="275">
        <f>BILANCA!D7</f>
        <v>4481547.3399999989</v>
      </c>
      <c r="I22" s="275">
        <f>BILANCA!E7</f>
        <v>4822631.91</v>
      </c>
      <c r="J22" s="5"/>
      <c r="K22" s="5"/>
      <c r="L22" s="5"/>
      <c r="M22" s="5"/>
      <c r="N22" s="5"/>
      <c r="O22" s="5"/>
      <c r="P22" s="5"/>
      <c r="Q22" s="5"/>
      <c r="R22" s="5"/>
      <c r="S22" s="5"/>
      <c r="T22" s="5"/>
      <c r="U22" s="5"/>
      <c r="V22" s="5"/>
      <c r="W22" s="5"/>
    </row>
    <row r="23" spans="1:23" ht="12.75" customHeight="1" x14ac:dyDescent="0.25">
      <c r="A23" s="341"/>
      <c r="B23" s="348" t="str">
        <f>BILANCA!B69</f>
        <v>Financijska imovina (šifre 11+12+13+14+15+16+17+19)</v>
      </c>
      <c r="C23" s="349"/>
      <c r="D23" s="349"/>
      <c r="E23" s="349"/>
      <c r="F23" s="350"/>
      <c r="G23" s="127" t="str">
        <f>BILANCA!C69</f>
        <v>1</v>
      </c>
      <c r="H23" s="275">
        <f>BILANCA!D69</f>
        <v>1729326.66</v>
      </c>
      <c r="I23" s="275">
        <f>BILANCA!E69</f>
        <v>2476616.16</v>
      </c>
      <c r="J23" s="5"/>
      <c r="K23" s="5"/>
      <c r="L23" s="5"/>
      <c r="M23" s="5"/>
      <c r="N23" s="5"/>
      <c r="O23" s="5"/>
      <c r="P23" s="5"/>
      <c r="Q23" s="5"/>
      <c r="R23" s="5"/>
      <c r="S23" s="5"/>
      <c r="T23" s="5"/>
      <c r="U23" s="5"/>
      <c r="V23" s="5"/>
      <c r="W23" s="5"/>
    </row>
    <row r="24" spans="1:23" ht="12.75" customHeight="1" x14ac:dyDescent="0.25">
      <c r="A24" s="341"/>
      <c r="B24" s="348" t="str">
        <f>BILANCA!B177</f>
        <v xml:space="preserve">Obveze (šifre 23+24+25+26+27+29) </v>
      </c>
      <c r="C24" s="349"/>
      <c r="D24" s="349"/>
      <c r="E24" s="349"/>
      <c r="F24" s="350"/>
      <c r="G24" s="127" t="str">
        <f>BILANCA!C177</f>
        <v>2</v>
      </c>
      <c r="H24" s="275">
        <f>BILANCA!D177</f>
        <v>71017.460000000006</v>
      </c>
      <c r="I24" s="275">
        <f>BILANCA!E177</f>
        <v>394821.71999999991</v>
      </c>
      <c r="J24" s="5"/>
      <c r="K24" s="5"/>
      <c r="L24" s="5"/>
      <c r="M24" s="5"/>
      <c r="N24" s="5"/>
      <c r="O24" s="5"/>
      <c r="P24" s="5"/>
      <c r="Q24" s="5"/>
      <c r="R24" s="5"/>
      <c r="S24" s="5"/>
      <c r="T24" s="5"/>
      <c r="U24" s="5"/>
      <c r="V24" s="5"/>
      <c r="W24" s="5"/>
    </row>
    <row r="25" spans="1:23" ht="12.75" customHeight="1" x14ac:dyDescent="0.25">
      <c r="A25" s="342"/>
      <c r="B25" s="351" t="str">
        <f>BILANCA!B251</f>
        <v>Vlastiti izvori (šifre 91 + 922 - 93 + 96 + 97)</v>
      </c>
      <c r="C25" s="352"/>
      <c r="D25" s="352"/>
      <c r="E25" s="352"/>
      <c r="F25" s="353"/>
      <c r="G25" s="128" t="str">
        <f>BILANCA!C251</f>
        <v>9</v>
      </c>
      <c r="H25" s="275">
        <f>BILANCA!D251</f>
        <v>6139856.54</v>
      </c>
      <c r="I25" s="275">
        <f>BILANCA!E251</f>
        <v>6904426.3499999987</v>
      </c>
      <c r="J25" s="5"/>
      <c r="K25" s="5"/>
      <c r="L25" s="5"/>
      <c r="M25" s="5"/>
      <c r="N25" s="5"/>
      <c r="O25" s="5"/>
      <c r="P25" s="5"/>
      <c r="Q25" s="5"/>
      <c r="R25" s="5"/>
      <c r="S25" s="5"/>
      <c r="T25" s="5"/>
      <c r="U25" s="5"/>
      <c r="V25" s="5"/>
      <c r="W25" s="5"/>
    </row>
    <row r="26" spans="1:23" ht="48" x14ac:dyDescent="0.25">
      <c r="A26" s="200" t="s">
        <v>1988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5">
      <c r="A27" s="340" t="s">
        <v>1991</v>
      </c>
      <c r="B27" s="359" t="str">
        <f>'RAS-funkcijski'!B5</f>
        <v>Opće javne usluge (šifre 011+012+013+014 do 018)</v>
      </c>
      <c r="C27" s="355"/>
      <c r="D27" s="355"/>
      <c r="E27" s="355"/>
      <c r="F27" s="356"/>
      <c r="G27" s="126" t="str">
        <f>'RAS-funkcijski'!C5</f>
        <v>01</v>
      </c>
      <c r="H27" s="275">
        <f>'RAS-funkcijski'!D5</f>
        <v>317223.17</v>
      </c>
      <c r="I27" s="275">
        <f>'RAS-funkcijski'!E5</f>
        <v>440501.14</v>
      </c>
      <c r="J27" s="5"/>
      <c r="K27" s="5"/>
      <c r="L27" s="5"/>
      <c r="M27" s="5"/>
      <c r="N27" s="5"/>
      <c r="O27" s="5"/>
      <c r="P27" s="5"/>
      <c r="Q27" s="5"/>
      <c r="R27" s="5"/>
      <c r="S27" s="5"/>
      <c r="T27" s="5"/>
      <c r="U27" s="5"/>
      <c r="V27" s="5"/>
      <c r="W27" s="5"/>
    </row>
    <row r="28" spans="1:23" ht="12.75" customHeight="1" x14ac:dyDescent="0.25">
      <c r="A28" s="341"/>
      <c r="B28" s="348" t="str">
        <f>'RAS-funkcijski'!B35</f>
        <v>Ekonomski poslovi (šifre 041+042+043+044+045+046+047+048+049)</v>
      </c>
      <c r="C28" s="349"/>
      <c r="D28" s="349"/>
      <c r="E28" s="349"/>
      <c r="F28" s="350"/>
      <c r="G28" s="127" t="str">
        <f>'RAS-funkcijski'!C35</f>
        <v>04</v>
      </c>
      <c r="H28" s="275">
        <f>'RAS-funkcijski'!D35</f>
        <v>743025.75</v>
      </c>
      <c r="I28" s="275">
        <f>'RAS-funkcijski'!E35</f>
        <v>404257.19999999995</v>
      </c>
      <c r="J28" s="5"/>
      <c r="K28" s="5"/>
      <c r="L28" s="5"/>
      <c r="M28" s="5"/>
      <c r="N28" s="5"/>
      <c r="O28" s="5"/>
      <c r="P28" s="5"/>
      <c r="Q28" s="5"/>
      <c r="R28" s="5"/>
      <c r="S28" s="5"/>
      <c r="T28" s="5"/>
      <c r="U28" s="5"/>
      <c r="V28" s="5"/>
      <c r="W28" s="5"/>
    </row>
    <row r="29" spans="1:23" ht="12.75" customHeight="1" x14ac:dyDescent="0.25">
      <c r="A29" s="341"/>
      <c r="B29" s="348" t="str">
        <f>'RAS-funkcijski'!B88</f>
        <v>Rashodi vezani za stanovanje i kom. pogodnosti koji nisu drugdje svrstani</v>
      </c>
      <c r="C29" s="349"/>
      <c r="D29" s="349"/>
      <c r="E29" s="349"/>
      <c r="F29" s="350"/>
      <c r="G29" s="127" t="str">
        <f>'RAS-funkcijski'!C88</f>
        <v>066</v>
      </c>
      <c r="H29" s="275">
        <f>'RAS-funkcijski'!D88</f>
        <v>15639.22</v>
      </c>
      <c r="I29" s="275">
        <f>'RAS-funkcijski'!E88</f>
        <v>16846.650000000001</v>
      </c>
      <c r="J29" s="5"/>
      <c r="K29" s="5"/>
      <c r="L29" s="5"/>
      <c r="M29" s="5"/>
      <c r="N29" s="5"/>
      <c r="O29" s="5"/>
      <c r="P29" s="5"/>
      <c r="Q29" s="5"/>
      <c r="R29" s="5"/>
      <c r="S29" s="5"/>
      <c r="T29" s="5"/>
      <c r="U29" s="5"/>
      <c r="V29" s="5"/>
      <c r="W29" s="5"/>
    </row>
    <row r="30" spans="1:23" ht="12.75" customHeight="1" x14ac:dyDescent="0.25">
      <c r="A30" s="341"/>
      <c r="B30" s="348" t="str">
        <f>'RAS-funkcijski'!B114</f>
        <v>Obrazovanje (šifre 091+092+093+094+095+096+097+098)</v>
      </c>
      <c r="C30" s="349"/>
      <c r="D30" s="349"/>
      <c r="E30" s="349"/>
      <c r="F30" s="350"/>
      <c r="G30" s="127" t="str">
        <f>'RAS-funkcijski'!C114</f>
        <v>09</v>
      </c>
      <c r="H30" s="275">
        <f>'RAS-funkcijski'!D114</f>
        <v>424449.05</v>
      </c>
      <c r="I30" s="275">
        <f>'RAS-funkcijski'!E114</f>
        <v>611114.35</v>
      </c>
      <c r="J30" s="5"/>
      <c r="K30" s="5"/>
      <c r="L30" s="5"/>
      <c r="M30" s="5"/>
      <c r="N30" s="5"/>
      <c r="O30" s="5"/>
      <c r="P30" s="5"/>
      <c r="Q30" s="5"/>
      <c r="R30" s="5"/>
      <c r="S30" s="5"/>
      <c r="T30" s="5"/>
      <c r="U30" s="5"/>
      <c r="V30" s="5"/>
      <c r="W30" s="5"/>
    </row>
    <row r="31" spans="1:23" ht="12.75" customHeight="1" x14ac:dyDescent="0.25">
      <c r="A31" s="342"/>
      <c r="B31" s="351" t="str">
        <f>'RAS-funkcijski'!B141</f>
        <v>Kontrolni zbroj (šifre 01+02+03+04+05+06+07+08+09+10)</v>
      </c>
      <c r="C31" s="352"/>
      <c r="D31" s="352"/>
      <c r="E31" s="352"/>
      <c r="F31" s="353"/>
      <c r="G31" s="128" t="str">
        <f>'RAS-funkcijski'!C141</f>
        <v>R1</v>
      </c>
      <c r="H31" s="275">
        <f>'RAS-funkcijski'!D141</f>
        <v>2048954.4100000001</v>
      </c>
      <c r="I31" s="275">
        <f>'RAS-funkcijski'!E141</f>
        <v>2474518.91</v>
      </c>
      <c r="J31" s="5"/>
      <c r="K31" s="5"/>
      <c r="L31" s="5"/>
      <c r="M31" s="5"/>
      <c r="N31" s="5"/>
      <c r="O31" s="5"/>
      <c r="P31" s="5"/>
      <c r="Q31" s="5"/>
      <c r="R31" s="5"/>
      <c r="S31" s="5"/>
      <c r="T31" s="5"/>
      <c r="U31" s="5"/>
      <c r="V31" s="5"/>
      <c r="W31" s="5"/>
    </row>
    <row r="32" spans="1:23" ht="29.25" customHeight="1" x14ac:dyDescent="0.25">
      <c r="A32" s="200" t="s">
        <v>1988</v>
      </c>
      <c r="B32" s="343" t="s">
        <v>8</v>
      </c>
      <c r="C32" s="344"/>
      <c r="D32" s="344"/>
      <c r="E32" s="344"/>
      <c r="F32" s="345"/>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0" t="s">
        <v>1982</v>
      </c>
      <c r="B33" s="354" t="str">
        <f>'P-VRIO'!B5</f>
        <v>Promjene u vrijednosti i obujmu imovine (šifre 91511+91512)</v>
      </c>
      <c r="C33" s="355"/>
      <c r="D33" s="355"/>
      <c r="E33" s="355"/>
      <c r="F33" s="356"/>
      <c r="G33" s="126" t="str">
        <f>'P-VRIO'!C5</f>
        <v>9151</v>
      </c>
      <c r="H33" s="275">
        <f>'P-VRIO'!D5</f>
        <v>0</v>
      </c>
      <c r="I33" s="275">
        <f>'P-VRIO'!E5</f>
        <v>232698.93</v>
      </c>
      <c r="J33" s="5"/>
      <c r="K33" s="5"/>
      <c r="L33" s="5"/>
      <c r="M33" s="5"/>
      <c r="N33" s="5"/>
      <c r="O33" s="5"/>
      <c r="P33" s="5"/>
      <c r="Q33" s="5"/>
      <c r="R33" s="5"/>
      <c r="S33" s="5"/>
      <c r="T33" s="5"/>
      <c r="U33" s="5"/>
      <c r="V33" s="5"/>
      <c r="W33" s="5"/>
    </row>
    <row r="34" spans="1:23" ht="12.75" customHeight="1" x14ac:dyDescent="0.25">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3" t="s">
        <v>8</v>
      </c>
      <c r="C37" s="344"/>
      <c r="D37" s="344"/>
      <c r="E37" s="344"/>
      <c r="F37" s="345"/>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0" t="s">
        <v>1983</v>
      </c>
      <c r="B38" s="359" t="str">
        <f>OBVEZE!B5</f>
        <v>Stanje obveza 1. siječnja (=stanju obveza iz Izvještaja o obvezama na 31. prosinca prethodne godine)</v>
      </c>
      <c r="C38" s="355"/>
      <c r="D38" s="355"/>
      <c r="E38" s="355"/>
      <c r="F38" s="356"/>
      <c r="G38" s="126" t="str">
        <f>OBVEZE!C5</f>
        <v>V001</v>
      </c>
      <c r="H38" s="275">
        <f>OBVEZE!D5</f>
        <v>132958.95000000001</v>
      </c>
      <c r="I38" s="275" t="s">
        <v>1994</v>
      </c>
      <c r="J38" s="5"/>
      <c r="K38" s="5"/>
      <c r="L38" s="5"/>
      <c r="M38" s="5"/>
      <c r="N38" s="5"/>
      <c r="O38" s="5"/>
      <c r="P38" s="5"/>
      <c r="Q38" s="5"/>
      <c r="R38" s="5"/>
      <c r="S38" s="5"/>
      <c r="T38" s="5"/>
      <c r="U38" s="5"/>
      <c r="V38" s="5"/>
      <c r="W38" s="5"/>
    </row>
    <row r="39" spans="1:23" ht="12.75" customHeight="1" x14ac:dyDescent="0.25">
      <c r="A39" s="341"/>
      <c r="B39" s="348" t="str">
        <f>OBVEZE!B44</f>
        <v>Stanje obveza na kraju izvještajnog razdoblja (šifre V001+V002-V004) i (šifre V007+V009)</v>
      </c>
      <c r="C39" s="349"/>
      <c r="D39" s="349"/>
      <c r="E39" s="349"/>
      <c r="F39" s="350"/>
      <c r="G39" s="127" t="str">
        <f>OBVEZE!C44</f>
        <v>V006</v>
      </c>
      <c r="H39" s="275" t="s">
        <v>1994</v>
      </c>
      <c r="I39" s="275">
        <f>OBVEZE!D44</f>
        <v>394578.12000000011</v>
      </c>
      <c r="J39" s="5"/>
      <c r="K39" s="5"/>
      <c r="L39" s="5"/>
      <c r="M39" s="5"/>
      <c r="N39" s="5"/>
      <c r="O39" s="5"/>
      <c r="P39" s="5"/>
      <c r="Q39" s="5"/>
      <c r="R39" s="5"/>
      <c r="S39" s="5"/>
      <c r="T39" s="5"/>
      <c r="U39" s="5"/>
      <c r="V39" s="5"/>
      <c r="W39" s="5"/>
    </row>
    <row r="40" spans="1:23" ht="12.75" customHeight="1" x14ac:dyDescent="0.25">
      <c r="A40" s="341"/>
      <c r="B40" s="348" t="str">
        <f>OBVEZE!B45</f>
        <v>Stanje dospjelih obveza na kraju izvještajnog razdoblja (šifre V008+D23+D24 + 'D dio 25,26' + D27)</v>
      </c>
      <c r="C40" s="349"/>
      <c r="D40" s="349"/>
      <c r="E40" s="349"/>
      <c r="F40" s="350"/>
      <c r="G40" s="127" t="str">
        <f>OBVEZE!C45</f>
        <v>V007</v>
      </c>
      <c r="H40" s="275" t="s">
        <v>1994</v>
      </c>
      <c r="I40" s="275">
        <f>OBVEZE!D45</f>
        <v>253.76</v>
      </c>
      <c r="J40" s="5"/>
      <c r="K40" s="5"/>
      <c r="L40" s="5"/>
      <c r="M40" s="5"/>
      <c r="N40" s="5"/>
      <c r="O40" s="5"/>
      <c r="P40" s="5"/>
      <c r="Q40" s="5"/>
      <c r="R40" s="5"/>
      <c r="S40" s="5"/>
      <c r="T40" s="5"/>
      <c r="U40" s="5"/>
      <c r="V40" s="5"/>
      <c r="W40" s="5"/>
    </row>
    <row r="41" spans="1:23" ht="12.75" customHeight="1" x14ac:dyDescent="0.25">
      <c r="A41" s="342"/>
      <c r="B41" s="351" t="str">
        <f>OBVEZE!B104</f>
        <v>Stanje nedospjelih obveza na kraju izvještajnog razdoblja (šifre V010 + ND23 + ND24 + 'ND dio 25,26' + ND27)</v>
      </c>
      <c r="C41" s="352"/>
      <c r="D41" s="352"/>
      <c r="E41" s="352"/>
      <c r="F41" s="353"/>
      <c r="G41" s="128" t="str">
        <f>OBVEZE!C104</f>
        <v>V009</v>
      </c>
      <c r="H41" s="276" t="s">
        <v>1994</v>
      </c>
      <c r="I41" s="276">
        <f>OBVEZE!D104</f>
        <v>394324.36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190" zoomScaleNormal="190" workbookViewId="0">
      <selection activeCell="E305" sqref="E30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9" t="s">
        <v>6</v>
      </c>
      <c r="B2" s="370"/>
      <c r="C2" s="370"/>
      <c r="D2" s="370"/>
      <c r="E2" s="370"/>
      <c r="F2" s="370"/>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1" t="s">
        <v>14</v>
      </c>
      <c r="B5" s="372"/>
      <c r="C5" s="166"/>
      <c r="D5" s="52"/>
      <c r="E5" s="52"/>
      <c r="F5" s="44"/>
    </row>
    <row r="6" spans="1:24" ht="12.75" customHeight="1" x14ac:dyDescent="0.25">
      <c r="A6" s="63">
        <v>6</v>
      </c>
      <c r="B6" s="220" t="s">
        <v>15</v>
      </c>
      <c r="C6" s="247" t="s">
        <v>16</v>
      </c>
      <c r="D6" s="60">
        <f>D7+D43+D49+D82+D106+D125+D134+D140</f>
        <v>2509527.3400000008</v>
      </c>
      <c r="E6" s="60">
        <f>E7+E43+E49+E82+E106+E125+E134+E140</f>
        <v>2899809.1599999997</v>
      </c>
      <c r="F6" s="45">
        <f t="shared" ref="F6:F132" si="0">IF(D6&lt;&gt;0,IF(E6/D6&gt;=100,"&gt;&gt;100",E6/D6*100),"-")</f>
        <v>115.55200510387739</v>
      </c>
    </row>
    <row r="7" spans="1:24" ht="12.75" customHeight="1" x14ac:dyDescent="0.25">
      <c r="A7" s="63">
        <v>61</v>
      </c>
      <c r="B7" s="220" t="s">
        <v>17</v>
      </c>
      <c r="C7" s="247" t="s">
        <v>18</v>
      </c>
      <c r="D7" s="60">
        <f>D8+D17+D23+D29+D36+D39</f>
        <v>1049263.6199999999</v>
      </c>
      <c r="E7" s="60">
        <f>E8+E17+E23+E29+E36+E39</f>
        <v>1270700.0299999998</v>
      </c>
      <c r="F7" s="45">
        <f t="shared" si="0"/>
        <v>121.1039824291249</v>
      </c>
    </row>
    <row r="8" spans="1:24" ht="12.75" customHeight="1" x14ac:dyDescent="0.25">
      <c r="A8" s="63">
        <v>611</v>
      </c>
      <c r="B8" s="220" t="s">
        <v>19</v>
      </c>
      <c r="C8" s="247" t="s">
        <v>20</v>
      </c>
      <c r="D8" s="60">
        <f>SUM(D9:D14)-D15-D16</f>
        <v>1005205.85</v>
      </c>
      <c r="E8" s="60">
        <f>SUM(E9:E14)-E15-E16</f>
        <v>1216320.5299999998</v>
      </c>
      <c r="F8" s="45">
        <f t="shared" si="0"/>
        <v>121.00213404050521</v>
      </c>
    </row>
    <row r="9" spans="1:24" ht="12.75" customHeight="1" x14ac:dyDescent="0.25">
      <c r="A9" s="63">
        <v>6111</v>
      </c>
      <c r="B9" s="65" t="s">
        <v>21</v>
      </c>
      <c r="C9" s="247" t="s">
        <v>22</v>
      </c>
      <c r="D9" s="194">
        <v>1005205.85</v>
      </c>
      <c r="E9" s="194">
        <v>1186151.8799999999</v>
      </c>
      <c r="F9" s="45">
        <f t="shared" si="0"/>
        <v>118.0008930509109</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v>30168.65</v>
      </c>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34019.129999999997</v>
      </c>
      <c r="E23" s="60">
        <f t="shared" si="2"/>
        <v>42884.74</v>
      </c>
      <c r="F23" s="45">
        <f t="shared" si="0"/>
        <v>126.06066057538803</v>
      </c>
    </row>
    <row r="24" spans="1:6" ht="12.75" customHeight="1" x14ac:dyDescent="0.25">
      <c r="A24" s="63">
        <v>6131</v>
      </c>
      <c r="B24" s="65" t="s">
        <v>51</v>
      </c>
      <c r="C24" s="247" t="s">
        <v>52</v>
      </c>
      <c r="D24" s="194">
        <v>1811.81</v>
      </c>
      <c r="E24" s="194">
        <v>4175.8900000000003</v>
      </c>
      <c r="F24" s="45">
        <f t="shared" si="0"/>
        <v>230.48167302310949</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32207.32</v>
      </c>
      <c r="E27" s="194">
        <v>38708.85</v>
      </c>
      <c r="F27" s="45">
        <f t="shared" si="0"/>
        <v>120.18649797623647</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10038.640000000001</v>
      </c>
      <c r="E29" s="60">
        <f>SUM(E30:E35)</f>
        <v>11494.76</v>
      </c>
      <c r="F29" s="45">
        <f t="shared" si="0"/>
        <v>114.50515209231529</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9946.61</v>
      </c>
      <c r="E31" s="194">
        <f>11494.76</f>
        <v>11494.76</v>
      </c>
      <c r="F31" s="45">
        <f t="shared" si="0"/>
        <v>115.56459939617618</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92.03</v>
      </c>
      <c r="E33" s="194"/>
      <c r="F33" s="45">
        <f t="shared" si="0"/>
        <v>0</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1192864.1200000001</v>
      </c>
      <c r="E49" s="60">
        <f>E50+E53+E58+E61+E64+E68+E71+E74+E77</f>
        <v>1364660.5899999999</v>
      </c>
      <c r="F49" s="45">
        <f t="shared" si="0"/>
        <v>114.40201504258505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891652.27</v>
      </c>
      <c r="E58" s="60">
        <f t="shared" si="9"/>
        <v>1054704.17</v>
      </c>
      <c r="F58" s="45">
        <f t="shared" si="0"/>
        <v>118.28648964242528</v>
      </c>
    </row>
    <row r="59" spans="1:6" ht="12" x14ac:dyDescent="0.25">
      <c r="A59" s="63">
        <v>6331</v>
      </c>
      <c r="B59" s="65" t="s">
        <v>121</v>
      </c>
      <c r="C59" s="247" t="s">
        <v>122</v>
      </c>
      <c r="D59" s="194">
        <v>823052.27</v>
      </c>
      <c r="E59" s="194">
        <f>865817.17</f>
        <v>865817.17</v>
      </c>
      <c r="F59" s="45">
        <f t="shared" si="0"/>
        <v>105.19589114309835</v>
      </c>
    </row>
    <row r="60" spans="1:6" ht="12" x14ac:dyDescent="0.25">
      <c r="A60" s="63">
        <v>6332</v>
      </c>
      <c r="B60" s="65" t="s">
        <v>123</v>
      </c>
      <c r="C60" s="247" t="s">
        <v>124</v>
      </c>
      <c r="D60" s="194">
        <v>68600</v>
      </c>
      <c r="E60" s="194">
        <f>188887</f>
        <v>188887</v>
      </c>
      <c r="F60" s="45">
        <f t="shared" si="0"/>
        <v>275.34548104956269</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301211.84999999998</v>
      </c>
      <c r="E74" s="60">
        <f t="shared" si="13"/>
        <v>309956.42</v>
      </c>
      <c r="F74" s="45">
        <f t="shared" si="0"/>
        <v>102.90312947515179</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301211.84999999998</v>
      </c>
      <c r="E76" s="194">
        <f>309956.42</f>
        <v>309956.42</v>
      </c>
      <c r="F76" s="45">
        <f t="shared" si="0"/>
        <v>102.90312947515179</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48636.930000000008</v>
      </c>
      <c r="E82" s="60">
        <f t="shared" si="15"/>
        <v>34850.259999999995</v>
      </c>
      <c r="F82" s="45">
        <f t="shared" si="0"/>
        <v>71.653905787227913</v>
      </c>
    </row>
    <row r="83" spans="1:6" ht="12.75" customHeight="1" x14ac:dyDescent="0.25">
      <c r="A83" s="63">
        <v>641</v>
      </c>
      <c r="B83" s="64" t="s">
        <v>169</v>
      </c>
      <c r="C83" s="247" t="s">
        <v>170</v>
      </c>
      <c r="D83" s="60">
        <f t="shared" ref="D83:E83" si="16">SUM(D84:D90)</f>
        <v>14.29</v>
      </c>
      <c r="E83" s="60">
        <f t="shared" si="16"/>
        <v>18.77</v>
      </c>
      <c r="F83" s="45">
        <f t="shared" si="0"/>
        <v>131.35059482155353</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14.29</v>
      </c>
      <c r="E85" s="194">
        <f>18.77</f>
        <v>18.77</v>
      </c>
      <c r="F85" s="45">
        <f t="shared" si="0"/>
        <v>131.35059482155353</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48622.640000000007</v>
      </c>
      <c r="E91" s="60">
        <f t="shared" si="17"/>
        <v>34831.49</v>
      </c>
      <c r="F91" s="45">
        <f t="shared" si="0"/>
        <v>71.636361168377519</v>
      </c>
    </row>
    <row r="92" spans="1:6" ht="12.75" customHeight="1" x14ac:dyDescent="0.25">
      <c r="A92" s="63">
        <v>6421</v>
      </c>
      <c r="B92" s="64" t="s">
        <v>187</v>
      </c>
      <c r="C92" s="247" t="s">
        <v>188</v>
      </c>
      <c r="D92" s="194">
        <v>4723.87</v>
      </c>
      <c r="E92" s="194">
        <f>3531.02</f>
        <v>3531.02</v>
      </c>
      <c r="F92" s="45">
        <f t="shared" si="0"/>
        <v>74.748458361470568</v>
      </c>
    </row>
    <row r="93" spans="1:6" ht="12.75" customHeight="1" x14ac:dyDescent="0.25">
      <c r="A93" s="63">
        <v>6422</v>
      </c>
      <c r="B93" s="64" t="s">
        <v>189</v>
      </c>
      <c r="C93" s="247" t="s">
        <v>190</v>
      </c>
      <c r="D93" s="194">
        <v>43553.54</v>
      </c>
      <c r="E93" s="194">
        <f>31300.47</f>
        <v>31300.47</v>
      </c>
      <c r="F93" s="45">
        <f t="shared" si="0"/>
        <v>71.866649645470844</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345.23</v>
      </c>
      <c r="E97" s="194"/>
      <c r="F97" s="45">
        <f t="shared" si="0"/>
        <v>0</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109418.20999999999</v>
      </c>
      <c r="E106" s="60">
        <f>E107+E112+E120+E124</f>
        <v>109865.45999999999</v>
      </c>
      <c r="F106" s="45">
        <f t="shared" si="0"/>
        <v>100.4087528026642</v>
      </c>
    </row>
    <row r="107" spans="1:6" ht="12.75" customHeight="1" x14ac:dyDescent="0.25">
      <c r="A107" s="63">
        <v>651</v>
      </c>
      <c r="B107" s="64" t="s">
        <v>217</v>
      </c>
      <c r="C107" s="247" t="s">
        <v>218</v>
      </c>
      <c r="D107" s="60">
        <f t="shared" ref="D107:E107" si="19">SUM(D108:D111)</f>
        <v>49.78</v>
      </c>
      <c r="E107" s="60">
        <f t="shared" si="19"/>
        <v>24.89</v>
      </c>
      <c r="F107" s="45">
        <f t="shared" si="0"/>
        <v>50</v>
      </c>
    </row>
    <row r="108" spans="1:6" ht="12.75" customHeight="1" x14ac:dyDescent="0.25">
      <c r="A108" s="63">
        <v>6511</v>
      </c>
      <c r="B108" s="64" t="s">
        <v>219</v>
      </c>
      <c r="C108" s="247" t="s">
        <v>220</v>
      </c>
      <c r="D108" s="194">
        <v>24.89</v>
      </c>
      <c r="E108" s="194"/>
      <c r="F108" s="45">
        <f t="shared" si="0"/>
        <v>0</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24.89</v>
      </c>
      <c r="E111" s="194">
        <f>24.89</f>
        <v>24.89</v>
      </c>
      <c r="F111" s="45">
        <f t="shared" si="0"/>
        <v>100</v>
      </c>
    </row>
    <row r="112" spans="1:6" ht="12.75" customHeight="1" x14ac:dyDescent="0.25">
      <c r="A112" s="63">
        <v>652</v>
      </c>
      <c r="B112" s="64" t="s">
        <v>227</v>
      </c>
      <c r="C112" s="247" t="s">
        <v>228</v>
      </c>
      <c r="D112" s="60">
        <f t="shared" ref="D112:E112" si="20">SUM(D113:D119)</f>
        <v>60899.729999999996</v>
      </c>
      <c r="E112" s="60">
        <f t="shared" si="20"/>
        <v>61694.32</v>
      </c>
      <c r="F112" s="45">
        <f t="shared" si="0"/>
        <v>101.3047512690122</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52398.31</v>
      </c>
      <c r="E115" s="194">
        <f>53214.15</f>
        <v>53214.15</v>
      </c>
      <c r="F115" s="45">
        <f t="shared" si="0"/>
        <v>101.55699678100305</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8501.42</v>
      </c>
      <c r="E117" s="194">
        <f>8480.17</f>
        <v>8480.17</v>
      </c>
      <c r="F117" s="45">
        <f t="shared" si="0"/>
        <v>99.750041757729889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48468.7</v>
      </c>
      <c r="E120" s="60">
        <f t="shared" si="21"/>
        <v>48146.25</v>
      </c>
      <c r="F120" s="45">
        <f t="shared" si="0"/>
        <v>99.334725296944214</v>
      </c>
    </row>
    <row r="121" spans="1:6" ht="12.75" customHeight="1" x14ac:dyDescent="0.25">
      <c r="A121" s="63">
        <v>6531</v>
      </c>
      <c r="B121" s="64" t="s">
        <v>245</v>
      </c>
      <c r="C121" s="247" t="s">
        <v>246</v>
      </c>
      <c r="D121" s="194">
        <v>2128.7800000000002</v>
      </c>
      <c r="E121" s="194">
        <f>1593.12</f>
        <v>1593.12</v>
      </c>
      <c r="F121" s="45">
        <f t="shared" si="0"/>
        <v>74.837230714305832</v>
      </c>
    </row>
    <row r="122" spans="1:6" ht="12.75" customHeight="1" x14ac:dyDescent="0.25">
      <c r="A122" s="63">
        <v>6532</v>
      </c>
      <c r="B122" s="64" t="s">
        <v>247</v>
      </c>
      <c r="C122" s="247" t="s">
        <v>248</v>
      </c>
      <c r="D122" s="194">
        <v>46339.92</v>
      </c>
      <c r="E122" s="194">
        <f>46553.13</f>
        <v>46553.13</v>
      </c>
      <c r="F122" s="45">
        <f t="shared" si="0"/>
        <v>100.46010006059569</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107666.72</v>
      </c>
      <c r="E125" s="60">
        <f t="shared" si="22"/>
        <v>117637.1</v>
      </c>
      <c r="F125" s="45">
        <f t="shared" si="0"/>
        <v>109.26041027348099</v>
      </c>
    </row>
    <row r="126" spans="1:6" ht="12.75" customHeight="1" x14ac:dyDescent="0.25">
      <c r="A126" s="63">
        <v>661</v>
      </c>
      <c r="B126" s="65" t="s">
        <v>255</v>
      </c>
      <c r="C126" s="247" t="s">
        <v>256</v>
      </c>
      <c r="D126" s="60">
        <f t="shared" ref="D126:E126" si="23">SUM(D127:D128)</f>
        <v>107003.11</v>
      </c>
      <c r="E126" s="60">
        <f t="shared" si="23"/>
        <v>116973.49</v>
      </c>
      <c r="F126" s="45">
        <f t="shared" si="0"/>
        <v>109.31784132255595</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107003.11</v>
      </c>
      <c r="E128" s="194">
        <f>11901.03+105072.46</f>
        <v>116973.49</v>
      </c>
      <c r="F128" s="45">
        <f t="shared" si="0"/>
        <v>109.31784132255595</v>
      </c>
    </row>
    <row r="129" spans="1:6" ht="22.8" x14ac:dyDescent="0.25">
      <c r="A129" s="63">
        <v>663</v>
      </c>
      <c r="B129" s="182" t="s">
        <v>261</v>
      </c>
      <c r="C129" s="247" t="s">
        <v>262</v>
      </c>
      <c r="D129" s="60">
        <f t="shared" ref="D129:E129" si="24">SUM(D130:D133)</f>
        <v>663.61</v>
      </c>
      <c r="E129" s="60">
        <f t="shared" si="24"/>
        <v>663.61</v>
      </c>
      <c r="F129" s="45">
        <f t="shared" si="0"/>
        <v>100</v>
      </c>
    </row>
    <row r="130" spans="1:6" ht="12.75" customHeight="1" x14ac:dyDescent="0.25">
      <c r="A130" s="63">
        <v>6631</v>
      </c>
      <c r="B130" s="65" t="s">
        <v>263</v>
      </c>
      <c r="C130" s="247" t="s">
        <v>264</v>
      </c>
      <c r="D130" s="194">
        <v>663.61</v>
      </c>
      <c r="E130" s="194">
        <v>663.61</v>
      </c>
      <c r="F130" s="45">
        <f t="shared" si="0"/>
        <v>100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1677.74</v>
      </c>
      <c r="E140" s="60">
        <f t="shared" si="28"/>
        <v>2095.7199999999998</v>
      </c>
      <c r="F140" s="45">
        <f t="shared" si="26"/>
        <v>124.91327619297388</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1677.74</v>
      </c>
      <c r="E151" s="194">
        <f>2095.72</f>
        <v>2095.7199999999998</v>
      </c>
      <c r="F151" s="45">
        <f t="shared" si="26"/>
        <v>124.91327619297388</v>
      </c>
    </row>
    <row r="152" spans="1:6" ht="12.75" customHeight="1" x14ac:dyDescent="0.25">
      <c r="A152" s="63">
        <v>3</v>
      </c>
      <c r="B152" s="64" t="s">
        <v>307</v>
      </c>
      <c r="C152" s="247" t="s">
        <v>13</v>
      </c>
      <c r="D152" s="60">
        <f>D153+D164+D202+D221+D230+D262+D273</f>
        <v>1282517.6100000001</v>
      </c>
      <c r="E152" s="60">
        <f>E153+E164+E202+E221+E230+E262+E273</f>
        <v>1976608.4499999997</v>
      </c>
      <c r="F152" s="45">
        <f t="shared" si="26"/>
        <v>154.11940035661573</v>
      </c>
    </row>
    <row r="153" spans="1:6" ht="12.75" customHeight="1" x14ac:dyDescent="0.25">
      <c r="A153" s="63">
        <v>31</v>
      </c>
      <c r="B153" s="64" t="s">
        <v>308</v>
      </c>
      <c r="C153" s="247" t="s">
        <v>309</v>
      </c>
      <c r="D153" s="60">
        <f t="shared" ref="D153:E153" si="30">D154+D159+D160</f>
        <v>389521.38000000006</v>
      </c>
      <c r="E153" s="60">
        <f t="shared" si="30"/>
        <v>569431.1</v>
      </c>
      <c r="F153" s="45">
        <f t="shared" si="26"/>
        <v>146.18738000979559</v>
      </c>
    </row>
    <row r="154" spans="1:6" ht="12.75" customHeight="1" x14ac:dyDescent="0.25">
      <c r="A154" s="63">
        <v>311</v>
      </c>
      <c r="B154" s="64" t="s">
        <v>310</v>
      </c>
      <c r="C154" s="247" t="s">
        <v>311</v>
      </c>
      <c r="D154" s="60">
        <f t="shared" ref="D154:E154" si="31">SUM(D155:D158)</f>
        <v>317827.15000000002</v>
      </c>
      <c r="E154" s="60">
        <f t="shared" si="31"/>
        <v>464459.37</v>
      </c>
      <c r="F154" s="45">
        <f t="shared" si="26"/>
        <v>146.13583830078707</v>
      </c>
    </row>
    <row r="155" spans="1:6" ht="12.75" customHeight="1" x14ac:dyDescent="0.25">
      <c r="A155" s="63">
        <v>3111</v>
      </c>
      <c r="B155" s="64" t="s">
        <v>312</v>
      </c>
      <c r="C155" s="247" t="s">
        <v>313</v>
      </c>
      <c r="D155" s="194">
        <v>317827.15000000002</v>
      </c>
      <c r="E155" s="194">
        <f>143535.4+320923.97</f>
        <v>464459.37</v>
      </c>
      <c r="F155" s="45">
        <f t="shared" si="26"/>
        <v>146.13583830078707</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19127.09</v>
      </c>
      <c r="E159" s="194">
        <f>6079.05+22230</f>
        <v>28309.05</v>
      </c>
      <c r="F159" s="45">
        <f t="shared" si="26"/>
        <v>148.00500232915724</v>
      </c>
    </row>
    <row r="160" spans="1:6" ht="12.75" customHeight="1" x14ac:dyDescent="0.25">
      <c r="A160" s="63">
        <v>313</v>
      </c>
      <c r="B160" s="65" t="s">
        <v>322</v>
      </c>
      <c r="C160" s="247" t="s">
        <v>323</v>
      </c>
      <c r="D160" s="60">
        <f t="shared" ref="D160:E160" si="32">SUM(D161:D163)</f>
        <v>52567.14</v>
      </c>
      <c r="E160" s="60">
        <f t="shared" si="32"/>
        <v>76662.679999999993</v>
      </c>
      <c r="F160" s="45">
        <f t="shared" si="26"/>
        <v>145.83764686456215</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52567.14</v>
      </c>
      <c r="E162" s="194">
        <f>23675.39+52987.29</f>
        <v>76662.679999999993</v>
      </c>
      <c r="F162" s="45">
        <f t="shared" si="26"/>
        <v>145.83764686456215</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593459.81000000006</v>
      </c>
      <c r="E164" s="60">
        <f>E165+E170+E178+E188+E189+E194</f>
        <v>690354.51</v>
      </c>
      <c r="F164" s="45">
        <f t="shared" si="26"/>
        <v>116.32708708614994</v>
      </c>
    </row>
    <row r="165" spans="1:6" ht="12.75" customHeight="1" x14ac:dyDescent="0.25">
      <c r="A165" s="63">
        <v>321</v>
      </c>
      <c r="B165" s="64" t="s">
        <v>332</v>
      </c>
      <c r="C165" s="247" t="s">
        <v>333</v>
      </c>
      <c r="D165" s="60">
        <f t="shared" ref="D165:E165" si="33">SUM(D166:D169)</f>
        <v>27367.8</v>
      </c>
      <c r="E165" s="60">
        <f t="shared" si="33"/>
        <v>24623.22</v>
      </c>
      <c r="F165" s="45">
        <f t="shared" si="26"/>
        <v>89.971499353254558</v>
      </c>
    </row>
    <row r="166" spans="1:6" ht="12.75" customHeight="1" x14ac:dyDescent="0.25">
      <c r="A166" s="63">
        <v>3211</v>
      </c>
      <c r="B166" s="64" t="s">
        <v>334</v>
      </c>
      <c r="C166" s="247" t="s">
        <v>335</v>
      </c>
      <c r="D166" s="194">
        <v>1678.7</v>
      </c>
      <c r="E166" s="194">
        <f>944.32</f>
        <v>944.32</v>
      </c>
      <c r="F166" s="45">
        <f t="shared" si="26"/>
        <v>56.253052957645799</v>
      </c>
    </row>
    <row r="167" spans="1:6" ht="12.75" customHeight="1" x14ac:dyDescent="0.25">
      <c r="A167" s="63">
        <v>3212</v>
      </c>
      <c r="B167" s="64" t="s">
        <v>336</v>
      </c>
      <c r="C167" s="247" t="s">
        <v>337</v>
      </c>
      <c r="D167" s="194">
        <v>13176.4</v>
      </c>
      <c r="E167" s="194">
        <f>1457.76+14443.13</f>
        <v>15900.89</v>
      </c>
      <c r="F167" s="45">
        <f t="shared" si="26"/>
        <v>120.67704380559181</v>
      </c>
    </row>
    <row r="168" spans="1:6" ht="12.75" customHeight="1" x14ac:dyDescent="0.25">
      <c r="A168" s="63">
        <v>3213</v>
      </c>
      <c r="B168" s="64" t="s">
        <v>338</v>
      </c>
      <c r="C168" s="247" t="s">
        <v>339</v>
      </c>
      <c r="D168" s="194">
        <v>3850.25</v>
      </c>
      <c r="E168" s="194">
        <f>3377.65</f>
        <v>3377.65</v>
      </c>
      <c r="F168" s="45">
        <f t="shared" si="26"/>
        <v>87.725472371923914</v>
      </c>
    </row>
    <row r="169" spans="1:6" ht="12.75" customHeight="1" x14ac:dyDescent="0.25">
      <c r="A169" s="63">
        <v>3214</v>
      </c>
      <c r="B169" s="64" t="s">
        <v>340</v>
      </c>
      <c r="C169" s="247" t="s">
        <v>341</v>
      </c>
      <c r="D169" s="194">
        <v>8662.4500000000007</v>
      </c>
      <c r="E169" s="194">
        <f>2914.36+1486</f>
        <v>4400.3600000000006</v>
      </c>
      <c r="F169" s="45">
        <f t="shared" si="26"/>
        <v>50.79809984473215</v>
      </c>
    </row>
    <row r="170" spans="1:6" ht="12.75" customHeight="1" x14ac:dyDescent="0.25">
      <c r="A170" s="63">
        <v>322</v>
      </c>
      <c r="B170" s="64" t="s">
        <v>342</v>
      </c>
      <c r="C170" s="247" t="s">
        <v>343</v>
      </c>
      <c r="D170" s="60">
        <f t="shared" ref="D170:E170" si="34">SUM(D171:D177)</f>
        <v>98789.200000000012</v>
      </c>
      <c r="E170" s="60">
        <f t="shared" si="34"/>
        <v>106408.51000000001</v>
      </c>
      <c r="F170" s="45">
        <f t="shared" si="26"/>
        <v>107.71269531487246</v>
      </c>
    </row>
    <row r="171" spans="1:6" ht="12.75" customHeight="1" x14ac:dyDescent="0.25">
      <c r="A171" s="63">
        <v>3221</v>
      </c>
      <c r="B171" s="64" t="s">
        <v>344</v>
      </c>
      <c r="C171" s="247" t="s">
        <v>345</v>
      </c>
      <c r="D171" s="194">
        <v>15639.3</v>
      </c>
      <c r="E171" s="194">
        <f>7635.25+15665.4</f>
        <v>23300.65</v>
      </c>
      <c r="F171" s="45">
        <f t="shared" si="26"/>
        <v>148.9878063596197</v>
      </c>
    </row>
    <row r="172" spans="1:6" ht="12.75" customHeight="1" x14ac:dyDescent="0.25">
      <c r="A172" s="63">
        <v>3222</v>
      </c>
      <c r="B172" s="64" t="s">
        <v>346</v>
      </c>
      <c r="C172" s="247" t="s">
        <v>347</v>
      </c>
      <c r="D172" s="194">
        <v>55114.89</v>
      </c>
      <c r="E172" s="194">
        <v>53032.33</v>
      </c>
      <c r="F172" s="45">
        <f t="shared" si="26"/>
        <v>96.221420382041956</v>
      </c>
    </row>
    <row r="173" spans="1:6" ht="12.75" customHeight="1" x14ac:dyDescent="0.25">
      <c r="A173" s="63">
        <v>3223</v>
      </c>
      <c r="B173" s="65" t="s">
        <v>348</v>
      </c>
      <c r="C173" s="247" t="s">
        <v>349</v>
      </c>
      <c r="D173" s="194">
        <v>20894.72</v>
      </c>
      <c r="E173" s="194">
        <f>19126.88+8178.73</f>
        <v>27305.61</v>
      </c>
      <c r="F173" s="45">
        <f t="shared" si="26"/>
        <v>130.68186604079881</v>
      </c>
    </row>
    <row r="174" spans="1:6" ht="12.75" customHeight="1" x14ac:dyDescent="0.25">
      <c r="A174" s="63">
        <v>3224</v>
      </c>
      <c r="B174" s="65" t="s">
        <v>350</v>
      </c>
      <c r="C174" s="247" t="s">
        <v>351</v>
      </c>
      <c r="D174" s="194">
        <v>4321.47</v>
      </c>
      <c r="E174" s="194">
        <f>1028.94</f>
        <v>1028.94</v>
      </c>
      <c r="F174" s="45">
        <f t="shared" si="26"/>
        <v>23.809953557470028</v>
      </c>
    </row>
    <row r="175" spans="1:6" ht="12.75" customHeight="1" x14ac:dyDescent="0.25">
      <c r="A175" s="63">
        <v>3225</v>
      </c>
      <c r="B175" s="65" t="s">
        <v>352</v>
      </c>
      <c r="C175" s="247" t="s">
        <v>353</v>
      </c>
      <c r="D175" s="194">
        <v>2016.32</v>
      </c>
      <c r="E175" s="194">
        <f>1543.79+197.19</f>
        <v>1740.98</v>
      </c>
      <c r="F175" s="45">
        <f t="shared" si="26"/>
        <v>86.344429455641972</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802.5</v>
      </c>
      <c r="E177" s="194"/>
      <c r="F177" s="45">
        <f t="shared" si="26"/>
        <v>0</v>
      </c>
    </row>
    <row r="178" spans="1:6" ht="12.75" customHeight="1" x14ac:dyDescent="0.25">
      <c r="A178" s="63">
        <v>323</v>
      </c>
      <c r="B178" s="65" t="s">
        <v>358</v>
      </c>
      <c r="C178" s="247" t="s">
        <v>359</v>
      </c>
      <c r="D178" s="60">
        <f t="shared" ref="D178:E178" si="35">SUM(D179:D187)</f>
        <v>390823.16000000003</v>
      </c>
      <c r="E178" s="60">
        <f t="shared" si="35"/>
        <v>431932.95000000007</v>
      </c>
      <c r="F178" s="45">
        <f t="shared" si="26"/>
        <v>110.51877017728428</v>
      </c>
    </row>
    <row r="179" spans="1:6" ht="12.75" customHeight="1" x14ac:dyDescent="0.25">
      <c r="A179" s="63">
        <v>3231</v>
      </c>
      <c r="B179" s="65" t="s">
        <v>360</v>
      </c>
      <c r="C179" s="247" t="s">
        <v>361</v>
      </c>
      <c r="D179" s="194">
        <v>13979.1</v>
      </c>
      <c r="E179" s="194">
        <f>19850.45+773.3</f>
        <v>20623.75</v>
      </c>
      <c r="F179" s="45">
        <f t="shared" si="26"/>
        <v>147.53274531264532</v>
      </c>
    </row>
    <row r="180" spans="1:6" ht="12.75" customHeight="1" x14ac:dyDescent="0.25">
      <c r="A180" s="63">
        <v>3232</v>
      </c>
      <c r="B180" s="65" t="s">
        <v>362</v>
      </c>
      <c r="C180" s="247" t="s">
        <v>363</v>
      </c>
      <c r="D180" s="194">
        <v>118605.41</v>
      </c>
      <c r="E180" s="194">
        <f>92078.29+8239.36</f>
        <v>100317.65</v>
      </c>
      <c r="F180" s="45">
        <f t="shared" si="26"/>
        <v>84.58100688661672</v>
      </c>
    </row>
    <row r="181" spans="1:6" ht="12.75" customHeight="1" x14ac:dyDescent="0.25">
      <c r="A181" s="63">
        <v>3233</v>
      </c>
      <c r="B181" s="65" t="s">
        <v>364</v>
      </c>
      <c r="C181" s="247" t="s">
        <v>365</v>
      </c>
      <c r="D181" s="194">
        <v>15664.28</v>
      </c>
      <c r="E181" s="194">
        <f>20938.68</f>
        <v>20938.68</v>
      </c>
      <c r="F181" s="45">
        <f t="shared" si="26"/>
        <v>133.67151251126768</v>
      </c>
    </row>
    <row r="182" spans="1:6" ht="12.75" customHeight="1" x14ac:dyDescent="0.25">
      <c r="A182" s="63">
        <v>3234</v>
      </c>
      <c r="B182" s="65" t="s">
        <v>366</v>
      </c>
      <c r="C182" s="247" t="s">
        <v>367</v>
      </c>
      <c r="D182" s="194">
        <v>37649.379999999997</v>
      </c>
      <c r="E182" s="194">
        <f>43344.85+1361.76</f>
        <v>44706.61</v>
      </c>
      <c r="F182" s="45">
        <f t="shared" si="26"/>
        <v>118.74461146504937</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30605.599999999999</v>
      </c>
      <c r="E184" s="194">
        <f>35273.09+1330.26</f>
        <v>36603.35</v>
      </c>
      <c r="F184" s="45">
        <f t="shared" si="26"/>
        <v>119.59690383459235</v>
      </c>
    </row>
    <row r="185" spans="1:6" ht="12.75" customHeight="1" x14ac:dyDescent="0.25">
      <c r="A185" s="63">
        <v>3237</v>
      </c>
      <c r="B185" s="64" t="s">
        <v>372</v>
      </c>
      <c r="C185" s="247" t="s">
        <v>373</v>
      </c>
      <c r="D185" s="194">
        <v>102575.82</v>
      </c>
      <c r="E185" s="194">
        <f>113460.35+12666.4</f>
        <v>126126.75</v>
      </c>
      <c r="F185" s="45">
        <f t="shared" si="26"/>
        <v>122.95953373806809</v>
      </c>
    </row>
    <row r="186" spans="1:6" ht="12.75" customHeight="1" x14ac:dyDescent="0.25">
      <c r="A186" s="63">
        <v>3238</v>
      </c>
      <c r="B186" s="64" t="s">
        <v>374</v>
      </c>
      <c r="C186" s="247" t="s">
        <v>375</v>
      </c>
      <c r="D186" s="194">
        <v>27504.83</v>
      </c>
      <c r="E186" s="194">
        <f>35349.53+2460.3</f>
        <v>37809.83</v>
      </c>
      <c r="F186" s="45">
        <f t="shared" si="26"/>
        <v>137.46614685493421</v>
      </c>
    </row>
    <row r="187" spans="1:6" ht="12.75" customHeight="1" x14ac:dyDescent="0.25">
      <c r="A187" s="63">
        <v>3239</v>
      </c>
      <c r="B187" s="64" t="s">
        <v>376</v>
      </c>
      <c r="C187" s="247" t="s">
        <v>377</v>
      </c>
      <c r="D187" s="194">
        <v>44238.74</v>
      </c>
      <c r="E187" s="194">
        <f>41616.63+3189.7</f>
        <v>44806.329999999994</v>
      </c>
      <c r="F187" s="45">
        <f t="shared" si="26"/>
        <v>101.28301574592766</v>
      </c>
    </row>
    <row r="188" spans="1:6" ht="12.75" customHeight="1" x14ac:dyDescent="0.25">
      <c r="A188" s="63">
        <v>324</v>
      </c>
      <c r="B188" s="64" t="s">
        <v>378</v>
      </c>
      <c r="C188" s="247" t="s">
        <v>379</v>
      </c>
      <c r="D188" s="194">
        <v>0</v>
      </c>
      <c r="E188" s="194">
        <f>970.49</f>
        <v>970.49</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76479.649999999994</v>
      </c>
      <c r="E194" s="60">
        <f t="shared" si="36"/>
        <v>126419.34</v>
      </c>
      <c r="F194" s="45">
        <f t="shared" si="26"/>
        <v>165.29801064727675</v>
      </c>
    </row>
    <row r="195" spans="1:6" ht="12.75" customHeight="1" x14ac:dyDescent="0.25">
      <c r="A195" s="63">
        <v>3291</v>
      </c>
      <c r="B195" s="183" t="s">
        <v>392</v>
      </c>
      <c r="C195" s="247" t="s">
        <v>393</v>
      </c>
      <c r="D195" s="194">
        <v>27745.040000000001</v>
      </c>
      <c r="E195" s="194">
        <f>67305.9</f>
        <v>67305.899999999994</v>
      </c>
      <c r="F195" s="45">
        <f t="shared" si="26"/>
        <v>242.58714350384784</v>
      </c>
    </row>
    <row r="196" spans="1:6" ht="12.75" customHeight="1" x14ac:dyDescent="0.25">
      <c r="A196" s="63">
        <v>3292</v>
      </c>
      <c r="B196" s="64" t="s">
        <v>394</v>
      </c>
      <c r="C196" s="247" t="s">
        <v>395</v>
      </c>
      <c r="D196" s="194">
        <v>2146.44</v>
      </c>
      <c r="E196" s="194">
        <f>719.37+1714.97</f>
        <v>2434.34</v>
      </c>
      <c r="F196" s="45">
        <f t="shared" si="26"/>
        <v>113.41290695290806</v>
      </c>
    </row>
    <row r="197" spans="1:6" ht="12.75" customHeight="1" x14ac:dyDescent="0.25">
      <c r="A197" s="63">
        <v>3293</v>
      </c>
      <c r="B197" s="64" t="s">
        <v>396</v>
      </c>
      <c r="C197" s="247" t="s">
        <v>397</v>
      </c>
      <c r="D197" s="194">
        <v>9479.81</v>
      </c>
      <c r="E197" s="194">
        <f>7743.82</f>
        <v>7743.82</v>
      </c>
      <c r="F197" s="45">
        <f t="shared" si="26"/>
        <v>81.687502175676514</v>
      </c>
    </row>
    <row r="198" spans="1:6" ht="12.75" customHeight="1" x14ac:dyDescent="0.25">
      <c r="A198" s="63">
        <v>3294</v>
      </c>
      <c r="B198" s="64" t="s">
        <v>398</v>
      </c>
      <c r="C198" s="247" t="s">
        <v>399</v>
      </c>
      <c r="D198" s="194">
        <v>1511.72</v>
      </c>
      <c r="E198" s="194">
        <f>3392.3</f>
        <v>3392.3</v>
      </c>
      <c r="F198" s="45">
        <f t="shared" si="26"/>
        <v>224.40002116794116</v>
      </c>
    </row>
    <row r="199" spans="1:6" ht="12.75" customHeight="1" x14ac:dyDescent="0.25">
      <c r="A199" s="63">
        <v>3295</v>
      </c>
      <c r="B199" s="64" t="s">
        <v>400</v>
      </c>
      <c r="C199" s="247" t="s">
        <v>401</v>
      </c>
      <c r="D199" s="194">
        <v>1045.46</v>
      </c>
      <c r="E199" s="194">
        <f>4084.98</f>
        <v>4084.98</v>
      </c>
      <c r="F199" s="45">
        <f t="shared" si="26"/>
        <v>390.7351787729803</v>
      </c>
    </row>
    <row r="200" spans="1:6" ht="12.75" customHeight="1" x14ac:dyDescent="0.25">
      <c r="A200" s="63" t="s">
        <v>402</v>
      </c>
      <c r="B200" s="64" t="s">
        <v>403</v>
      </c>
      <c r="C200" s="247" t="s">
        <v>402</v>
      </c>
      <c r="D200" s="194">
        <v>0</v>
      </c>
      <c r="E200" s="325">
        <f>413.88</f>
        <v>413.88</v>
      </c>
      <c r="F200" s="45" t="str">
        <f t="shared" si="26"/>
        <v>-</v>
      </c>
    </row>
    <row r="201" spans="1:6" ht="12.75" customHeight="1" x14ac:dyDescent="0.25">
      <c r="A201" s="63">
        <v>3299</v>
      </c>
      <c r="B201" s="64" t="s">
        <v>404</v>
      </c>
      <c r="C201" s="247" t="s">
        <v>405</v>
      </c>
      <c r="D201" s="194">
        <v>34551.18</v>
      </c>
      <c r="E201" s="194">
        <f>37961.24+3082.88</f>
        <v>41044.119999999995</v>
      </c>
      <c r="F201" s="45">
        <f t="shared" si="26"/>
        <v>118.79223806538587</v>
      </c>
    </row>
    <row r="202" spans="1:6" ht="12.75" customHeight="1" x14ac:dyDescent="0.25">
      <c r="A202" s="63">
        <v>34</v>
      </c>
      <c r="B202" s="183" t="s">
        <v>406</v>
      </c>
      <c r="C202" s="247" t="s">
        <v>407</v>
      </c>
      <c r="D202" s="60">
        <f t="shared" ref="D202:E202" si="37">D203+D208+D216</f>
        <v>3096.15</v>
      </c>
      <c r="E202" s="60">
        <f t="shared" si="37"/>
        <v>2838.0699999999997</v>
      </c>
      <c r="F202" s="45">
        <f t="shared" si="26"/>
        <v>91.664486539734824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3096.15</v>
      </c>
      <c r="E216" s="60">
        <f t="shared" si="40"/>
        <v>2838.0699999999997</v>
      </c>
      <c r="F216" s="45">
        <f t="shared" si="26"/>
        <v>91.664486539734824</v>
      </c>
    </row>
    <row r="217" spans="1:6" ht="12.75" customHeight="1" x14ac:dyDescent="0.25">
      <c r="A217" s="63">
        <v>3431</v>
      </c>
      <c r="B217" s="182" t="s">
        <v>436</v>
      </c>
      <c r="C217" s="247" t="s">
        <v>437</v>
      </c>
      <c r="D217" s="194">
        <v>2539.19</v>
      </c>
      <c r="E217" s="194">
        <f>2367.89</f>
        <v>2367.89</v>
      </c>
      <c r="F217" s="45">
        <f t="shared" si="26"/>
        <v>93.253754149945451</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v>0.02</v>
      </c>
      <c r="F219" s="45" t="str">
        <f t="shared" si="26"/>
        <v>-</v>
      </c>
    </row>
    <row r="220" spans="1:6" ht="12.75" customHeight="1" x14ac:dyDescent="0.25">
      <c r="A220" s="63">
        <v>3434</v>
      </c>
      <c r="B220" s="65" t="s">
        <v>442</v>
      </c>
      <c r="C220" s="247" t="s">
        <v>443</v>
      </c>
      <c r="D220" s="194">
        <v>556.96</v>
      </c>
      <c r="E220" s="194">
        <f>470.16</f>
        <v>470.16</v>
      </c>
      <c r="F220" s="45">
        <f t="shared" si="26"/>
        <v>84.41539787417409</v>
      </c>
    </row>
    <row r="221" spans="1:6" ht="12.75" customHeight="1" x14ac:dyDescent="0.25">
      <c r="A221" s="63">
        <v>35</v>
      </c>
      <c r="B221" s="65" t="s">
        <v>444</v>
      </c>
      <c r="C221" s="247" t="s">
        <v>445</v>
      </c>
      <c r="D221" s="60">
        <f t="shared" ref="D221:E221" si="41">D222+D225+D229</f>
        <v>2680</v>
      </c>
      <c r="E221" s="60">
        <f t="shared" si="41"/>
        <v>7200</v>
      </c>
      <c r="F221" s="45">
        <f t="shared" si="26"/>
        <v>268.65671641791045</v>
      </c>
    </row>
    <row r="222" spans="1:6" ht="22.8" x14ac:dyDescent="0.25">
      <c r="A222" s="63">
        <v>351</v>
      </c>
      <c r="B222" s="65" t="s">
        <v>446</v>
      </c>
      <c r="C222" s="247" t="s">
        <v>447</v>
      </c>
      <c r="D222" s="60">
        <f t="shared" ref="D222:E222" si="42">SUM(D223:D224)</f>
        <v>0</v>
      </c>
      <c r="E222" s="60">
        <f t="shared" si="42"/>
        <v>7200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f>7200</f>
        <v>7200</v>
      </c>
      <c r="F224" s="45" t="str">
        <f t="shared" si="26"/>
        <v>-</v>
      </c>
    </row>
    <row r="225" spans="1:6" ht="34.200000000000003" x14ac:dyDescent="0.25">
      <c r="A225" s="63">
        <v>352</v>
      </c>
      <c r="B225" s="65" t="s">
        <v>452</v>
      </c>
      <c r="C225" s="247" t="s">
        <v>453</v>
      </c>
      <c r="D225" s="60">
        <f t="shared" ref="D225:E225" si="43">SUM(D226:D228)</f>
        <v>2680</v>
      </c>
      <c r="E225" s="60">
        <f t="shared" si="43"/>
        <v>0</v>
      </c>
      <c r="F225" s="45">
        <f t="shared" si="26"/>
        <v>0</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2680</v>
      </c>
      <c r="E228" s="194"/>
      <c r="F228" s="45">
        <f t="shared" si="26"/>
        <v>0</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130396.05</v>
      </c>
      <c r="E262" s="60">
        <f t="shared" si="55"/>
        <v>196255.13999999998</v>
      </c>
      <c r="F262" s="45">
        <f t="shared" ref="F262:F268" si="56">IF(D262&lt;&gt;0,IF(E262/D262&gt;=100,"&gt;&gt;100",E262/D262*100),"-")</f>
        <v>150.50696704386365</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130396.05</v>
      </c>
      <c r="E269" s="60">
        <f t="shared" si="58"/>
        <v>196255.13999999998</v>
      </c>
      <c r="F269" s="45">
        <f t="shared" ref="F269:F272" si="59">IF(D269&lt;&gt;0,IF(E269/D269&gt;=100,"&gt;&gt;100",E269/D269*100),"-")</f>
        <v>150.50696704386365</v>
      </c>
    </row>
    <row r="270" spans="1:6" ht="12.75" customHeight="1" x14ac:dyDescent="0.25">
      <c r="A270" s="63">
        <v>3721</v>
      </c>
      <c r="B270" s="65" t="s">
        <v>533</v>
      </c>
      <c r="C270" s="247" t="s">
        <v>534</v>
      </c>
      <c r="D270" s="194">
        <v>117689.85</v>
      </c>
      <c r="E270" s="194">
        <f>182833.61</f>
        <v>182833.61</v>
      </c>
      <c r="F270" s="45">
        <f t="shared" si="59"/>
        <v>155.35206307085954</v>
      </c>
    </row>
    <row r="271" spans="1:6" ht="12.75" customHeight="1" x14ac:dyDescent="0.25">
      <c r="A271" s="63">
        <v>3722</v>
      </c>
      <c r="B271" s="65" t="s">
        <v>535</v>
      </c>
      <c r="C271" s="247" t="s">
        <v>536</v>
      </c>
      <c r="D271" s="194">
        <v>12706.2</v>
      </c>
      <c r="E271" s="194">
        <f>13421.53</f>
        <v>13421.53</v>
      </c>
      <c r="F271" s="45">
        <f t="shared" si="59"/>
        <v>105.62977129275473</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163364.21999999997</v>
      </c>
      <c r="E273" s="60">
        <f t="shared" si="60"/>
        <v>510529.63</v>
      </c>
      <c r="F273" s="45">
        <f t="shared" ref="F273:F277" si="61">IF(D273&lt;&gt;0,IF(E273/D273&gt;=100,"&gt;&gt;100",E273/D273*100),"-")</f>
        <v>312.51006493343533</v>
      </c>
    </row>
    <row r="274" spans="1:6" ht="12.75" customHeight="1" x14ac:dyDescent="0.25">
      <c r="A274" s="63">
        <v>381</v>
      </c>
      <c r="B274" s="64" t="s">
        <v>541</v>
      </c>
      <c r="C274" s="247" t="s">
        <v>542</v>
      </c>
      <c r="D274" s="60">
        <f t="shared" ref="D274:E274" si="62">SUM(D275:D277)</f>
        <v>130074.58</v>
      </c>
      <c r="E274" s="60">
        <f t="shared" si="62"/>
        <v>177646.96</v>
      </c>
      <c r="F274" s="45">
        <f t="shared" si="61"/>
        <v>136.57315672285853</v>
      </c>
    </row>
    <row r="275" spans="1:6" ht="12.75" customHeight="1" x14ac:dyDescent="0.25">
      <c r="A275" s="63">
        <v>3811</v>
      </c>
      <c r="B275" s="64" t="s">
        <v>543</v>
      </c>
      <c r="C275" s="247" t="s">
        <v>544</v>
      </c>
      <c r="D275" s="194">
        <v>130074.58</v>
      </c>
      <c r="E275" s="194">
        <f>177646.96</f>
        <v>177646.96</v>
      </c>
      <c r="F275" s="45">
        <f t="shared" si="61"/>
        <v>136.57315672285853</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11795.66</v>
      </c>
      <c r="E278" s="60">
        <f t="shared" si="63"/>
        <v>13289.92</v>
      </c>
      <c r="F278" s="45">
        <f t="shared" ref="F278:F282" si="64">IF(D278&lt;&gt;0,IF(E278/D278&gt;=100,"&gt;&gt;100",E278/D278*100),"-")</f>
        <v>112.66787954213669</v>
      </c>
    </row>
    <row r="279" spans="1:6" ht="12.75" customHeight="1" x14ac:dyDescent="0.25">
      <c r="A279" s="63">
        <v>3821</v>
      </c>
      <c r="B279" s="64" t="s">
        <v>551</v>
      </c>
      <c r="C279" s="247" t="s">
        <v>552</v>
      </c>
      <c r="D279" s="194">
        <v>11795.66</v>
      </c>
      <c r="E279" s="194">
        <f>13289.92</f>
        <v>13289.92</v>
      </c>
      <c r="F279" s="45">
        <f t="shared" si="64"/>
        <v>112.66787954213669</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3381.46</v>
      </c>
      <c r="E283" s="60">
        <f t="shared" si="65"/>
        <v>12667.91</v>
      </c>
      <c r="F283" s="45">
        <f t="shared" ref="F283:F294" si="66">IF(D283&lt;&gt;0,IF(E283/D283&gt;=100,"&gt;&gt;100",E283/D283*100),"-")</f>
        <v>374.62841494502374</v>
      </c>
    </row>
    <row r="284" spans="1:6" ht="12.75" customHeight="1" x14ac:dyDescent="0.25">
      <c r="A284" s="63">
        <v>3831</v>
      </c>
      <c r="B284" s="64" t="s">
        <v>561</v>
      </c>
      <c r="C284" s="247" t="s">
        <v>562</v>
      </c>
      <c r="D284" s="194">
        <v>0</v>
      </c>
      <c r="E284" s="194">
        <f>9264.69</f>
        <v>9264.69</v>
      </c>
      <c r="F284" s="45" t="str">
        <f t="shared" si="66"/>
        <v>-</v>
      </c>
    </row>
    <row r="285" spans="1:6" ht="12.75" customHeight="1" x14ac:dyDescent="0.25">
      <c r="A285" s="63">
        <v>3832</v>
      </c>
      <c r="B285" s="64" t="s">
        <v>563</v>
      </c>
      <c r="C285" s="247" t="s">
        <v>564</v>
      </c>
      <c r="D285" s="194">
        <v>3381.46</v>
      </c>
      <c r="E285" s="194">
        <f>3403.22</f>
        <v>3403.22</v>
      </c>
      <c r="F285" s="45">
        <f t="shared" si="66"/>
        <v>100.64350901681523</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18112.52</v>
      </c>
      <c r="E289" s="60">
        <f t="shared" si="67"/>
        <v>306924.84000000003</v>
      </c>
      <c r="F289" s="45">
        <f t="shared" si="66"/>
        <v>1694.5452096119152</v>
      </c>
    </row>
    <row r="290" spans="1:6" ht="22.8" x14ac:dyDescent="0.25">
      <c r="A290" s="63">
        <v>3861</v>
      </c>
      <c r="B290" s="64" t="s">
        <v>572</v>
      </c>
      <c r="C290" s="247" t="s">
        <v>573</v>
      </c>
      <c r="D290" s="194">
        <v>18112.52</v>
      </c>
      <c r="E290" s="194">
        <f>306924.84</f>
        <v>306924.84000000003</v>
      </c>
      <c r="F290" s="45">
        <f t="shared" si="66"/>
        <v>1694.5452096119152</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1282517.6100000001</v>
      </c>
      <c r="E299" s="60">
        <f>E152-E297+E298</f>
        <v>1976608.4499999997</v>
      </c>
      <c r="F299" s="45">
        <f t="shared" si="68"/>
        <v>154.11940035661573</v>
      </c>
    </row>
    <row r="300" spans="1:6" ht="12.75" customHeight="1" x14ac:dyDescent="0.25">
      <c r="A300" s="63" t="s">
        <v>582</v>
      </c>
      <c r="B300" s="64" t="s">
        <v>593</v>
      </c>
      <c r="C300" s="247" t="s">
        <v>594</v>
      </c>
      <c r="D300" s="60">
        <f>IF(D6&gt;=D299,D6-D299,0)</f>
        <v>1227009.7300000007</v>
      </c>
      <c r="E300" s="60">
        <f>IF(E6&gt;=E299,E6-E299,0)</f>
        <v>923200.71</v>
      </c>
      <c r="F300" s="45">
        <f t="shared" si="68"/>
        <v>75.239885017048678</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2989271.33</v>
      </c>
      <c r="E302" s="194">
        <f>4231503.04-15221.98</f>
        <v>4216281.0599999996</v>
      </c>
      <c r="F302" s="45">
        <f t="shared" si="68"/>
        <v>141.04711799447122</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35155.86</v>
      </c>
      <c r="E304" s="194">
        <f>96106.96+17553.79</f>
        <v>113660.75</v>
      </c>
      <c r="F304" s="45">
        <f t="shared" si="68"/>
        <v>323.30527542207761</v>
      </c>
    </row>
    <row r="305" spans="1:6" ht="12" x14ac:dyDescent="0.25">
      <c r="A305" s="63">
        <v>9661</v>
      </c>
      <c r="B305" s="220" t="s">
        <v>603</v>
      </c>
      <c r="C305" s="247" t="s">
        <v>604</v>
      </c>
      <c r="D305" s="194">
        <v>15407</v>
      </c>
      <c r="E305" s="194">
        <f>2540.85+17553.79</f>
        <v>20094.64</v>
      </c>
      <c r="F305" s="45">
        <f t="shared" si="68"/>
        <v>130.4253910560135</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1" t="s">
        <v>607</v>
      </c>
      <c r="B307" s="372"/>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766436.79999999993</v>
      </c>
      <c r="E360" s="60">
        <f t="shared" si="86"/>
        <v>497910.45999999996</v>
      </c>
      <c r="F360" s="45">
        <f t="shared" si="72"/>
        <v>64.964320606734958</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645163.02999999991</v>
      </c>
      <c r="E373" s="60">
        <f t="shared" si="90"/>
        <v>416009.05</v>
      </c>
      <c r="F373" s="45">
        <f t="shared" si="72"/>
        <v>64.48122887636633</v>
      </c>
    </row>
    <row r="374" spans="1:6" ht="12.75" customHeight="1" x14ac:dyDescent="0.25">
      <c r="A374" s="63">
        <v>421</v>
      </c>
      <c r="B374" s="64" t="s">
        <v>732</v>
      </c>
      <c r="C374" s="247" t="s">
        <v>733</v>
      </c>
      <c r="D374" s="60">
        <f t="shared" ref="D374:E374" si="91">SUM(D375:D378)</f>
        <v>645163.02999999991</v>
      </c>
      <c r="E374" s="60">
        <f t="shared" si="91"/>
        <v>393539.5</v>
      </c>
      <c r="F374" s="45">
        <f t="shared" si="72"/>
        <v>60.998458017657967</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112616.45</v>
      </c>
      <c r="E377" s="194">
        <f>230520</f>
        <v>230520</v>
      </c>
      <c r="F377" s="45">
        <f t="shared" si="72"/>
        <v>204.69478482051247</v>
      </c>
    </row>
    <row r="378" spans="1:6" ht="12.75" customHeight="1" x14ac:dyDescent="0.25">
      <c r="A378" s="63">
        <v>4214</v>
      </c>
      <c r="B378" s="64" t="s">
        <v>644</v>
      </c>
      <c r="C378" s="247" t="s">
        <v>737</v>
      </c>
      <c r="D378" s="194">
        <v>532546.57999999996</v>
      </c>
      <c r="E378" s="194">
        <f>163019.5</f>
        <v>163019.5</v>
      </c>
      <c r="F378" s="45">
        <f t="shared" si="72"/>
        <v>30.6113129108819</v>
      </c>
    </row>
    <row r="379" spans="1:6" ht="12.75" customHeight="1" x14ac:dyDescent="0.25">
      <c r="A379" s="63">
        <v>422</v>
      </c>
      <c r="B379" s="64" t="s">
        <v>738</v>
      </c>
      <c r="C379" s="247" t="s">
        <v>739</v>
      </c>
      <c r="D379" s="60">
        <f t="shared" ref="D379:E379" si="92">SUM(D380:D387)</f>
        <v>0</v>
      </c>
      <c r="E379" s="60">
        <f t="shared" si="92"/>
        <v>22469.55</v>
      </c>
      <c r="F379" s="45" t="str">
        <f t="shared" si="72"/>
        <v>-</v>
      </c>
    </row>
    <row r="380" spans="1:6" ht="12.75" customHeight="1" x14ac:dyDescent="0.25">
      <c r="A380" s="63">
        <v>4221</v>
      </c>
      <c r="B380" s="64" t="s">
        <v>648</v>
      </c>
      <c r="C380" s="247" t="s">
        <v>740</v>
      </c>
      <c r="D380" s="194">
        <v>0</v>
      </c>
      <c r="E380" s="194">
        <f>3105.93</f>
        <v>3105.93</v>
      </c>
      <c r="F380" s="45" t="str">
        <f t="shared" si="72"/>
        <v>-</v>
      </c>
    </row>
    <row r="381" spans="1:6" ht="12.75" customHeight="1" x14ac:dyDescent="0.25">
      <c r="A381" s="63">
        <v>4222</v>
      </c>
      <c r="B381" s="64" t="s">
        <v>741</v>
      </c>
      <c r="C381" s="247" t="s">
        <v>742</v>
      </c>
      <c r="D381" s="194">
        <v>0</v>
      </c>
      <c r="E381" s="194">
        <f>3875.62</f>
        <v>3875.62</v>
      </c>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f>4975+10513</f>
        <v>15488</v>
      </c>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121273.77</v>
      </c>
      <c r="E412" s="60">
        <f t="shared" si="100"/>
        <v>81901.41</v>
      </c>
      <c r="F412" s="45">
        <f t="shared" si="72"/>
        <v>67.534315128489865</v>
      </c>
    </row>
    <row r="413" spans="1:6" ht="12.75" customHeight="1" x14ac:dyDescent="0.25">
      <c r="A413" s="63">
        <v>451</v>
      </c>
      <c r="B413" s="64" t="s">
        <v>785</v>
      </c>
      <c r="C413" s="247" t="s">
        <v>786</v>
      </c>
      <c r="D413" s="194">
        <v>86100.71</v>
      </c>
      <c r="E413" s="194">
        <f>63008.89</f>
        <v>63008.89</v>
      </c>
      <c r="F413" s="45">
        <f t="shared" si="72"/>
        <v>73.180453448060987</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35173.06</v>
      </c>
      <c r="E416" s="194">
        <f>18892.52</f>
        <v>18892.52</v>
      </c>
      <c r="F416" s="45">
        <f t="shared" si="72"/>
        <v>53.71304060550888</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766436.79999999993</v>
      </c>
      <c r="E418" s="60">
        <f t="shared" si="102"/>
        <v>497910.45999999996</v>
      </c>
      <c r="F418" s="45">
        <f t="shared" si="72"/>
        <v>64.964320606734958</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2053469.41</v>
      </c>
      <c r="E420" s="194">
        <f>2808793.54+11112.67</f>
        <v>2819906.21</v>
      </c>
      <c r="F420" s="45">
        <f t="shared" si="72"/>
        <v>137.32399403018135</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2509527.3400000008</v>
      </c>
      <c r="E422" s="60">
        <f>E6+E308</f>
        <v>2899809.1599999997</v>
      </c>
      <c r="F422" s="45">
        <f t="shared" si="72"/>
        <v>115.55200510387739</v>
      </c>
    </row>
    <row r="423" spans="1:6" ht="12.75" customHeight="1" x14ac:dyDescent="0.25">
      <c r="A423" s="63" t="s">
        <v>582</v>
      </c>
      <c r="B423" s="64" t="s">
        <v>805</v>
      </c>
      <c r="C423" s="247" t="s">
        <v>806</v>
      </c>
      <c r="D423" s="60">
        <f t="shared" ref="D423:E423" si="103">D299+D360</f>
        <v>2048954.4100000001</v>
      </c>
      <c r="E423" s="60">
        <f t="shared" si="103"/>
        <v>2474518.9099999997</v>
      </c>
      <c r="F423" s="45">
        <f t="shared" si="72"/>
        <v>120.76983743137552</v>
      </c>
    </row>
    <row r="424" spans="1:6" ht="12.75" customHeight="1" x14ac:dyDescent="0.25">
      <c r="A424" s="63" t="s">
        <v>582</v>
      </c>
      <c r="B424" s="64" t="s">
        <v>807</v>
      </c>
      <c r="C424" s="247" t="s">
        <v>808</v>
      </c>
      <c r="D424" s="60">
        <f t="shared" ref="D424:E424" si="104">IF(D422&gt;=D423,D422-D423,0)</f>
        <v>460572.93000000063</v>
      </c>
      <c r="E424" s="60">
        <f t="shared" si="104"/>
        <v>425290.25</v>
      </c>
      <c r="F424" s="45">
        <f t="shared" si="72"/>
        <v>92.339393459359286</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935801.92000000016</v>
      </c>
      <c r="E426" s="60">
        <f t="shared" si="106"/>
        <v>1396374.8499999996</v>
      </c>
      <c r="F426" s="45">
        <f t="shared" si="72"/>
        <v>149.21692509457552</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35155.86</v>
      </c>
      <c r="E428" s="81">
        <f t="shared" si="108"/>
        <v>113660.75</v>
      </c>
      <c r="F428" s="61">
        <f t="shared" si="72"/>
        <v>323.30527542207761</v>
      </c>
    </row>
    <row r="429" spans="1:6" s="55" customFormat="1" ht="20.100000000000001" customHeight="1" x14ac:dyDescent="0.25">
      <c r="A429" s="371" t="s">
        <v>819</v>
      </c>
      <c r="B429" s="372"/>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12"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26199.279999999999</v>
      </c>
      <c r="E535" s="60">
        <f>E536+E571+E584+E597+E629</f>
        <v>0</v>
      </c>
      <c r="F535" s="45">
        <f t="shared" si="109"/>
        <v>0</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26199.279999999999</v>
      </c>
      <c r="E597" s="60">
        <f t="shared" si="152"/>
        <v>0</v>
      </c>
      <c r="F597" s="45">
        <f t="shared" si="109"/>
        <v>0</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26199.279999999999</v>
      </c>
      <c r="E621" s="60">
        <f t="shared" si="158"/>
        <v>0</v>
      </c>
      <c r="F621" s="45">
        <f t="shared" si="109"/>
        <v>0</v>
      </c>
    </row>
    <row r="622" spans="1:6" ht="12.75" customHeight="1" x14ac:dyDescent="0.25">
      <c r="A622" s="63">
        <v>5471</v>
      </c>
      <c r="B622" s="64" t="s">
        <v>1194</v>
      </c>
      <c r="C622" s="247" t="s">
        <v>1195</v>
      </c>
      <c r="D622" s="194">
        <v>26199.279999999999</v>
      </c>
      <c r="E622" s="194"/>
      <c r="F622" s="45">
        <f t="shared" si="109"/>
        <v>0</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26199.279999999999</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13272.27</v>
      </c>
      <c r="E642" s="194">
        <f>39471.55</f>
        <v>39471.550000000003</v>
      </c>
      <c r="F642" s="45">
        <f t="shared" si="109"/>
        <v>297.39863640507616</v>
      </c>
    </row>
    <row r="643" spans="1:6" ht="12.75" customHeight="1" x14ac:dyDescent="0.25">
      <c r="A643" s="63" t="s">
        <v>582</v>
      </c>
      <c r="B643" s="64" t="s">
        <v>1236</v>
      </c>
      <c r="C643" s="247" t="s">
        <v>1237</v>
      </c>
      <c r="D643" s="60">
        <f>D422+D430</f>
        <v>2509527.3400000008</v>
      </c>
      <c r="E643" s="60">
        <f>E422+E430</f>
        <v>2899809.1599999997</v>
      </c>
      <c r="F643" s="45">
        <f t="shared" si="109"/>
        <v>115.55200510387739</v>
      </c>
    </row>
    <row r="644" spans="1:6" ht="12.75" customHeight="1" x14ac:dyDescent="0.25">
      <c r="A644" s="63" t="s">
        <v>582</v>
      </c>
      <c r="B644" s="64" t="s">
        <v>1238</v>
      </c>
      <c r="C644" s="247" t="s">
        <v>1239</v>
      </c>
      <c r="D644" s="60">
        <f>D423+D535</f>
        <v>2075153.6900000002</v>
      </c>
      <c r="E644" s="60">
        <f>E423+E535</f>
        <v>2474518.9099999997</v>
      </c>
      <c r="F644" s="45">
        <f t="shared" si="109"/>
        <v>119.24509119129385</v>
      </c>
    </row>
    <row r="645" spans="1:6" ht="12.75" customHeight="1" x14ac:dyDescent="0.25">
      <c r="A645" s="63" t="s">
        <v>582</v>
      </c>
      <c r="B645" s="64" t="s">
        <v>1240</v>
      </c>
      <c r="C645" s="247" t="s">
        <v>1241</v>
      </c>
      <c r="D645" s="60">
        <f t="shared" ref="D645:E645" si="163">IF(D643&gt;=D644,D643-D644,0)</f>
        <v>434373.65000000061</v>
      </c>
      <c r="E645" s="60">
        <f t="shared" si="163"/>
        <v>425290.25</v>
      </c>
      <c r="F645" s="45">
        <f t="shared" si="109"/>
        <v>97.908851054846309</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922529.65000000014</v>
      </c>
      <c r="E647" s="60">
        <f>IF(E426-E427+E641-E642&gt;=0,E426-E427+E641-E642,0)</f>
        <v>1356903.2999999996</v>
      </c>
      <c r="F647" s="45">
        <f t="shared" si="109"/>
        <v>147.08506116849463</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1356903.3000000007</v>
      </c>
      <c r="E649" s="60">
        <f t="shared" si="165"/>
        <v>1782193.5499999996</v>
      </c>
      <c r="F649" s="45">
        <f t="shared" si="109"/>
        <v>131.34270879877724</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151.16</v>
      </c>
      <c r="E651" s="196">
        <v>1176.8499999999999</v>
      </c>
      <c r="F651" s="61">
        <f t="shared" si="109"/>
        <v>778.54591161682981</v>
      </c>
    </row>
    <row r="652" spans="1:6" s="55" customFormat="1" ht="20.100000000000001" customHeight="1" x14ac:dyDescent="0.25">
      <c r="A652" s="371" t="s">
        <v>1254</v>
      </c>
      <c r="B652" s="372"/>
      <c r="C652" s="171"/>
      <c r="D652" s="43"/>
      <c r="E652" s="43"/>
      <c r="F652" s="44"/>
    </row>
    <row r="653" spans="1:6" ht="12.75" customHeight="1" x14ac:dyDescent="0.25">
      <c r="A653" s="63">
        <v>11</v>
      </c>
      <c r="B653" s="64" t="s">
        <v>1255</v>
      </c>
      <c r="C653" s="247" t="s">
        <v>1256</v>
      </c>
      <c r="D653" s="194">
        <v>942296.43</v>
      </c>
      <c r="E653" s="194">
        <f>1377746.07+2803.81</f>
        <v>1380549.8800000001</v>
      </c>
      <c r="F653" s="45">
        <f t="shared" ref="F653:F740" si="167">IF(D653&lt;&gt;0,IF(E653/D653&gt;=100,"&gt;&gt;100",E653/D653*100),"-")</f>
        <v>146.50908525674876</v>
      </c>
    </row>
    <row r="654" spans="1:6" ht="12.75" customHeight="1" x14ac:dyDescent="0.25">
      <c r="A654" s="63" t="s">
        <v>1257</v>
      </c>
      <c r="B654" s="64" t="s">
        <v>1258</v>
      </c>
      <c r="C654" s="247" t="s">
        <v>1257</v>
      </c>
      <c r="D654" s="194">
        <v>2911286.92</v>
      </c>
      <c r="E654" s="194">
        <f>2875908.36+522586.19</f>
        <v>3398494.55</v>
      </c>
      <c r="F654" s="45">
        <f t="shared" si="167"/>
        <v>116.73512928777217</v>
      </c>
    </row>
    <row r="655" spans="1:6" ht="12.75" customHeight="1" x14ac:dyDescent="0.25">
      <c r="A655" s="63" t="s">
        <v>1259</v>
      </c>
      <c r="B655" s="64" t="s">
        <v>1260</v>
      </c>
      <c r="C655" s="247" t="s">
        <v>1259</v>
      </c>
      <c r="D655" s="194">
        <v>2473033.4700000002</v>
      </c>
      <c r="E655" s="194">
        <f>2190686.5+525342.45</f>
        <v>2716028.95</v>
      </c>
      <c r="F655" s="45">
        <f t="shared" si="167"/>
        <v>109.82580636080108</v>
      </c>
    </row>
    <row r="656" spans="1:6" ht="22.8" x14ac:dyDescent="0.25">
      <c r="A656" s="63">
        <v>11</v>
      </c>
      <c r="B656" s="64" t="s">
        <v>1261</v>
      </c>
      <c r="C656" s="247" t="s">
        <v>1262</v>
      </c>
      <c r="D656" s="60">
        <f t="shared" ref="D656:E656" si="168">+D653+D654-D655</f>
        <v>1380549.88</v>
      </c>
      <c r="E656" s="60">
        <f t="shared" si="168"/>
        <v>2063015.4799999995</v>
      </c>
      <c r="F656" s="45">
        <f t="shared" si="167"/>
        <v>149.43433119562474</v>
      </c>
    </row>
    <row r="657" spans="1:6" ht="22.8" x14ac:dyDescent="0.25">
      <c r="A657" s="63" t="s">
        <v>582</v>
      </c>
      <c r="B657" s="64" t="s">
        <v>1263</v>
      </c>
      <c r="C657" s="247" t="s">
        <v>1264</v>
      </c>
      <c r="D657" s="253">
        <v>4</v>
      </c>
      <c r="E657" s="253">
        <v>4</v>
      </c>
      <c r="F657" s="45">
        <f t="shared" si="167"/>
        <v>100</v>
      </c>
    </row>
    <row r="658" spans="1:6" ht="22.8" x14ac:dyDescent="0.25">
      <c r="A658" s="63" t="s">
        <v>582</v>
      </c>
      <c r="B658" s="64" t="s">
        <v>1265</v>
      </c>
      <c r="C658" s="247" t="s">
        <v>1266</v>
      </c>
      <c r="D658" s="253">
        <v>14</v>
      </c>
      <c r="E658" s="253">
        <v>16</v>
      </c>
      <c r="F658" s="45">
        <f t="shared" si="167"/>
        <v>114.28571428571428</v>
      </c>
    </row>
    <row r="659" spans="1:6" ht="12.75" customHeight="1" x14ac:dyDescent="0.25">
      <c r="A659" s="63" t="s">
        <v>582</v>
      </c>
      <c r="B659" s="64" t="s">
        <v>1267</v>
      </c>
      <c r="C659" s="247" t="s">
        <v>1268</v>
      </c>
      <c r="D659" s="253">
        <v>4</v>
      </c>
      <c r="E659" s="253">
        <v>4</v>
      </c>
      <c r="F659" s="45">
        <f t="shared" si="167"/>
        <v>100</v>
      </c>
    </row>
    <row r="660" spans="1:6" ht="12.75" customHeight="1" x14ac:dyDescent="0.25">
      <c r="A660" s="63" t="s">
        <v>582</v>
      </c>
      <c r="B660" s="64" t="s">
        <v>1269</v>
      </c>
      <c r="C660" s="247" t="s">
        <v>1270</v>
      </c>
      <c r="D660" s="253">
        <v>15</v>
      </c>
      <c r="E660" s="253">
        <v>16</v>
      </c>
      <c r="F660" s="45">
        <f t="shared" si="167"/>
        <v>106.66666666666667</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f>4175.89</f>
        <v>4175.8900000000003</v>
      </c>
      <c r="F663" s="71" t="str">
        <f t="shared" si="167"/>
        <v>-</v>
      </c>
    </row>
    <row r="664" spans="1:6" ht="12.75" customHeight="1" x14ac:dyDescent="0.25">
      <c r="A664" s="70" t="s">
        <v>1278</v>
      </c>
      <c r="B664" s="65" t="s">
        <v>1279</v>
      </c>
      <c r="C664" s="277" t="s">
        <v>1278</v>
      </c>
      <c r="D664" s="192"/>
      <c r="E664" s="192">
        <f>38708.85</f>
        <v>38708.85</v>
      </c>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92.03</v>
      </c>
      <c r="E667" s="192"/>
      <c r="F667" s="71">
        <f t="shared" si="167"/>
        <v>0</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800917.27</v>
      </c>
      <c r="E669" s="194">
        <f>801044.26</f>
        <v>801044.26</v>
      </c>
      <c r="F669" s="45">
        <f t="shared" si="167"/>
        <v>100.01585557020141</v>
      </c>
    </row>
    <row r="670" spans="1:6" ht="12.75" customHeight="1" x14ac:dyDescent="0.25">
      <c r="A670" s="63">
        <v>63312</v>
      </c>
      <c r="B670" s="64" t="s">
        <v>1290</v>
      </c>
      <c r="C670" s="247" t="s">
        <v>1291</v>
      </c>
      <c r="D670" s="194">
        <v>22135</v>
      </c>
      <c r="E670" s="194">
        <f>64772.91</f>
        <v>64772.91</v>
      </c>
      <c r="F670" s="45">
        <f t="shared" si="167"/>
        <v>292.62665461938104</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68600</v>
      </c>
      <c r="E674" s="194">
        <f>188887</f>
        <v>188887</v>
      </c>
      <c r="F674" s="45">
        <f t="shared" si="167"/>
        <v>275.34548104956269</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301211.84999999998</v>
      </c>
      <c r="E706" s="192">
        <f>309956.42</f>
        <v>309956.42</v>
      </c>
      <c r="F706" s="71">
        <f t="shared" si="167"/>
        <v>102.90312947515179</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f>15768.61</f>
        <v>15768.61</v>
      </c>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13176.4</v>
      </c>
      <c r="E734" s="192">
        <f>1457.76+14443.13</f>
        <v>15900.89</v>
      </c>
      <c r="F734" s="71">
        <f t="shared" si="167"/>
        <v>120.67704380559181</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1215.3</v>
      </c>
      <c r="E736" s="194">
        <v>1330.26</v>
      </c>
      <c r="F736" s="45">
        <f t="shared" si="167"/>
        <v>109.45939274253271</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35636.76</v>
      </c>
      <c r="E738" s="194">
        <f>49860.98+5100.11</f>
        <v>54961.090000000004</v>
      </c>
      <c r="F738" s="45">
        <f t="shared" si="167"/>
        <v>154.22583310042776</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26172.66</v>
      </c>
      <c r="E740" s="192">
        <f>21592.45</f>
        <v>21592.45</v>
      </c>
      <c r="F740" s="71">
        <f t="shared" si="167"/>
        <v>82.500021014295072</v>
      </c>
    </row>
    <row r="741" spans="1:6" ht="12.75" customHeight="1" x14ac:dyDescent="0.25">
      <c r="A741" s="70">
        <v>32911</v>
      </c>
      <c r="B741" s="65" t="s">
        <v>1412</v>
      </c>
      <c r="C741" s="278" t="s">
        <v>1413</v>
      </c>
      <c r="D741" s="192">
        <v>5888.16</v>
      </c>
      <c r="E741" s="192">
        <f>13081.09</f>
        <v>13081.09</v>
      </c>
      <c r="F741" s="71">
        <f t="shared" ref="F741:F1006" si="169">IF(D741&lt;&gt;0,IF(E741/D741&gt;=100,"&gt;&gt;100",E741/D741*100),"-")</f>
        <v>222.15921442352112</v>
      </c>
    </row>
    <row r="742" spans="1:6" ht="12.75" customHeight="1" x14ac:dyDescent="0.25">
      <c r="A742" s="70" t="s">
        <v>1414</v>
      </c>
      <c r="B742" s="65" t="s">
        <v>1415</v>
      </c>
      <c r="C742" s="278" t="s">
        <v>1414</v>
      </c>
      <c r="D742" s="192">
        <v>1267.71</v>
      </c>
      <c r="E742" s="192">
        <v>1714.97</v>
      </c>
      <c r="F742" s="71">
        <f t="shared" si="169"/>
        <v>135.28093964708017</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2680</v>
      </c>
      <c r="E777" s="192"/>
      <c r="F777" s="71">
        <f t="shared" si="169"/>
        <v>0</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12"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42379.85</v>
      </c>
      <c r="E843" s="194">
        <f>40653.61</f>
        <v>40653.61</v>
      </c>
      <c r="F843" s="45">
        <f t="shared" si="169"/>
        <v>95.926743487766004</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33340</v>
      </c>
      <c r="E846" s="194">
        <f>40080</f>
        <v>40080</v>
      </c>
      <c r="F846" s="45">
        <f t="shared" si="169"/>
        <v>120.21595680863828</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7400</v>
      </c>
      <c r="E848" s="194">
        <f>16300</f>
        <v>16300</v>
      </c>
      <c r="F848" s="45">
        <f t="shared" si="169"/>
        <v>220.27027027027026</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34570</v>
      </c>
      <c r="E850" s="194">
        <f>85800</f>
        <v>85800</v>
      </c>
      <c r="F850" s="45">
        <f t="shared" si="169"/>
        <v>248.19207405264677</v>
      </c>
    </row>
    <row r="851" spans="1:6" ht="12.75" customHeight="1" x14ac:dyDescent="0.25">
      <c r="A851" s="63">
        <v>37221</v>
      </c>
      <c r="B851" s="64" t="s">
        <v>1631</v>
      </c>
      <c r="C851" s="247" t="s">
        <v>1632</v>
      </c>
      <c r="D851" s="194">
        <v>10740.13</v>
      </c>
      <c r="E851" s="194">
        <f>13421.53</f>
        <v>13421.53</v>
      </c>
      <c r="F851" s="45">
        <f t="shared" si="169"/>
        <v>124.96617824923908</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1966.07</v>
      </c>
      <c r="E855" s="194"/>
      <c r="F855" s="45">
        <f t="shared" si="169"/>
        <v>0</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18112.52</v>
      </c>
      <c r="E857" s="194">
        <f>306924.84</f>
        <v>306924.84000000003</v>
      </c>
      <c r="F857" s="45">
        <f t="shared" si="169"/>
        <v>1694.5452096119152</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26199.279999999999</v>
      </c>
      <c r="E995" s="192"/>
      <c r="F995" s="71">
        <f t="shared" si="169"/>
        <v>0</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7" t="s">
        <v>1948</v>
      </c>
      <c r="B1010" s="368"/>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5"/>
      <c r="E1021" s="366"/>
      <c r="F1021" s="51"/>
    </row>
    <row r="1022" spans="1:6" ht="15" customHeight="1" x14ac:dyDescent="0.25">
      <c r="A1022" s="140"/>
      <c r="B1022" s="163"/>
      <c r="C1022" s="173"/>
      <c r="D1022" s="365"/>
      <c r="E1022" s="366"/>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 zoomScale="190" zoomScaleNormal="190" workbookViewId="0">
      <selection activeCell="D18" sqref="D1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6210873.9999999991</v>
      </c>
      <c r="E6" s="180">
        <f t="shared" si="0"/>
        <v>7299248.0700000003</v>
      </c>
      <c r="F6" s="181">
        <f t="shared" ref="F6:F298" si="1">IF(D6&gt;0,IF(E6/D6&gt;=100,"&gt;&gt;100",E6/D6*100),"-")</f>
        <v>117.52368619939804</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4481547.3399999989</v>
      </c>
      <c r="E7" s="79">
        <f t="shared" si="2"/>
        <v>4822631.91</v>
      </c>
      <c r="F7" s="71">
        <f t="shared" si="1"/>
        <v>107.61086616123978</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139737.92000000001</v>
      </c>
      <c r="E8" s="79">
        <f>E9+E10-E11</f>
        <v>139737.92000000001</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139737.92000000001</v>
      </c>
      <c r="E9" s="192">
        <f>139737.92</f>
        <v>139737.92000000001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f>0</f>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f>0</f>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3820136.7299999995</v>
      </c>
      <c r="E12" s="79">
        <f t="shared" si="3"/>
        <v>4680712.3000000007</v>
      </c>
      <c r="F12" s="71">
        <f t="shared" si="1"/>
        <v>122.52734995692161</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3786823.2999999993</v>
      </c>
      <c r="E13" s="79">
        <f t="shared" si="4"/>
        <v>4641599.0500000007</v>
      </c>
      <c r="F13" s="71">
        <f t="shared" si="1"/>
        <v>122.57236956369213</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543623.63</v>
      </c>
      <c r="E15" s="192">
        <f>1144031.76</f>
        <v>1144031.76</v>
      </c>
      <c r="F15" s="71">
        <f t="shared" si="1"/>
        <v>210.44555403156409</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671360.81</v>
      </c>
      <c r="E16" s="192">
        <f>901880.81</f>
        <v>901880.81</v>
      </c>
      <c r="F16" s="71">
        <f t="shared" si="1"/>
        <v>134.33623121373438</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f>3457202.09-77592.09</f>
        <v>3379610</v>
      </c>
      <c r="E17" s="192">
        <f>3617650.6+3555.27</f>
        <v>3621205.87</v>
      </c>
      <c r="F17" s="71">
        <f t="shared" si="1"/>
        <v>107.14863164684682</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807771.14</v>
      </c>
      <c r="E18" s="192">
        <f>1024897.34+622.05</f>
        <v>1025519.39</v>
      </c>
      <c r="F18" s="71">
        <f t="shared" si="1"/>
        <v>126.95667611992178</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3979.2600000000093</v>
      </c>
      <c r="E19" s="79">
        <f t="shared" si="5"/>
        <v>12950.929999999993</v>
      </c>
      <c r="F19" s="71">
        <f t="shared" si="1"/>
        <v>325.46076406165878</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98129.44</v>
      </c>
      <c r="E20" s="192">
        <f>98189.7+3818.17</f>
        <v>102007.87</v>
      </c>
      <c r="F20" s="71">
        <f t="shared" si="1"/>
        <v>103.95236128933377</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1231.49</v>
      </c>
      <c r="E21" s="192">
        <f>5107.11</f>
        <v>5107.1099999999997</v>
      </c>
      <c r="F21" s="71">
        <f t="shared" si="1"/>
        <v>414.70982305987053</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17782</v>
      </c>
      <c r="E22" s="192">
        <f>17782</f>
        <v>17782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2857.46</v>
      </c>
      <c r="E23" s="192">
        <f>2857.46</f>
        <v>2857.46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f>0</f>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f>0</f>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56160.6</v>
      </c>
      <c r="E26" s="192">
        <f>56623.87+14252.23</f>
        <v>70876.100000000006</v>
      </c>
      <c r="F26" s="71">
        <f t="shared" si="1"/>
        <v>126.20253344871672</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f>0</f>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172181.73</v>
      </c>
      <c r="E28" s="192">
        <f>180560.14+5119.47</f>
        <v>185679.61000000002</v>
      </c>
      <c r="F28" s="71">
        <f t="shared" si="1"/>
        <v>107.83932186068755</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23507.86</v>
      </c>
      <c r="E29" s="79">
        <f t="shared" si="6"/>
        <v>23507.86</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23507.86</v>
      </c>
      <c r="E30" s="192">
        <f>23507.86</f>
        <v>23507.86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3981.6800000000003</v>
      </c>
      <c r="E35" s="79">
        <f t="shared" si="7"/>
        <v>2654.4500000000003</v>
      </c>
      <c r="F35" s="71">
        <f t="shared" si="1"/>
        <v>66.666582949910591</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6636.14</v>
      </c>
      <c r="E37" s="192">
        <f>6636.14</f>
        <v>6636.14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2654.46</v>
      </c>
      <c r="E40" s="192">
        <f>3981.69</f>
        <v>3981.69</v>
      </c>
      <c r="F40" s="71">
        <f t="shared" si="1"/>
        <v>150</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1844.6300000000047</v>
      </c>
      <c r="E45" s="79">
        <f t="shared" si="9"/>
        <v>1.0000000009313226E-2</v>
      </c>
      <c r="F45" s="71">
        <f t="shared" si="1"/>
        <v>5.4211413721522476E-4</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12410.56</v>
      </c>
      <c r="E47" s="192">
        <f>12410.56</f>
        <v>12410.56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48635.48</v>
      </c>
      <c r="E48" s="192">
        <f>48635.48</f>
        <v>48635.48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63015.12</v>
      </c>
      <c r="E49" s="192">
        <f>63015.12</f>
        <v>63015.12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122216.53</v>
      </c>
      <c r="E50" s="192">
        <f>124061.15</f>
        <v>124061.15</v>
      </c>
      <c r="F50" s="71">
        <f t="shared" si="1"/>
        <v>101.50930483789713</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271.01000000000022</v>
      </c>
      <c r="E52" s="79">
        <f t="shared" si="10"/>
        <v>271.01000000000022</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15254.69</v>
      </c>
      <c r="E53" s="192"/>
      <c r="F53" s="71">
        <f t="shared" si="1"/>
        <v>0</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271.01</v>
      </c>
      <c r="E54" s="192">
        <f>271.01+15451.88</f>
        <v>15722.89</v>
      </c>
      <c r="F54" s="71">
        <f t="shared" si="1"/>
        <v>5801.5903472196596</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15254.69</v>
      </c>
      <c r="E55" s="192">
        <v>15451.88</v>
      </c>
      <c r="F55" s="71">
        <f t="shared" si="1"/>
        <v>101.29265163697197</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521401.68</v>
      </c>
      <c r="E56" s="79">
        <f t="shared" si="11"/>
        <v>1910.68</v>
      </c>
      <c r="F56" s="71">
        <f t="shared" si="1"/>
        <v>0.36645067963724248</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521401.68</v>
      </c>
      <c r="E57" s="192">
        <f>1910.68</f>
        <v>1910.68</v>
      </c>
      <c r="F57" s="71">
        <f t="shared" si="1"/>
        <v>0.36645067963724248</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1729326.66</v>
      </c>
      <c r="E69" s="79">
        <f>E70+E82+E88+E119+E135+E147+E165+E171</f>
        <v>2476616.16</v>
      </c>
      <c r="F69" s="71">
        <f t="shared" si="1"/>
        <v>143.2127438548828</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1380549.8800000001</v>
      </c>
      <c r="E70" s="79">
        <f t="shared" si="12"/>
        <v>2063015.48</v>
      </c>
      <c r="F70" s="71">
        <f t="shared" si="1"/>
        <v>149.43433119562474</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1380510.05</v>
      </c>
      <c r="E71" s="79">
        <f t="shared" si="13"/>
        <v>2062925.59</v>
      </c>
      <c r="F71" s="71">
        <f t="shared" si="1"/>
        <v>149.43213126192018</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1380510.05</v>
      </c>
      <c r="E73" s="192">
        <f>2062878.04+47.55</f>
        <v>2062925.59</v>
      </c>
      <c r="F73" s="71">
        <f t="shared" si="1"/>
        <v>149.43213126192018</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39.83</v>
      </c>
      <c r="E80" s="192">
        <f>89.89</f>
        <v>89.89</v>
      </c>
      <c r="F80" s="71">
        <f t="shared" si="1"/>
        <v>225.6841576700979</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7184.38</v>
      </c>
      <c r="E82" s="79">
        <f>SUM(E83:E85)-E86+E87</f>
        <v>7884.7</v>
      </c>
      <c r="F82" s="71">
        <f t="shared" si="1"/>
        <v>109.74781400761096</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7184.38</v>
      </c>
      <c r="E87" s="192">
        <v>7884.7</v>
      </c>
      <c r="F87" s="71">
        <f t="shared" si="1"/>
        <v>109.74781400761096</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290850.09000000003</v>
      </c>
      <c r="E135" s="79">
        <f t="shared" si="21"/>
        <v>290850.09000000003</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290850.09000000003</v>
      </c>
      <c r="E136" s="79">
        <f t="shared" si="22"/>
        <v>290850.09000000003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290850.09000000003</v>
      </c>
      <c r="E142" s="192">
        <f>290850.09</f>
        <v>290850.09000000003</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50591.15</v>
      </c>
      <c r="E147" s="79">
        <f t="shared" si="24"/>
        <v>113689.03999999998</v>
      </c>
      <c r="F147" s="71">
        <f t="shared" si="1"/>
        <v>224.72120123776585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1486.99</v>
      </c>
      <c r="E148" s="192">
        <f>18145.06</f>
        <v>18145.060000000001</v>
      </c>
      <c r="F148" s="71">
        <f t="shared" si="1"/>
        <v>1220.2543393028873</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16927.66</v>
      </c>
      <c r="E159" s="192">
        <f>35398.13</f>
        <v>35398.129999999997</v>
      </c>
      <c r="F159" s="71">
        <f t="shared" si="1"/>
        <v>209.1141362716406</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79455.03</v>
      </c>
      <c r="E160" s="192">
        <f>102736.74</f>
        <v>102736.74</v>
      </c>
      <c r="F160" s="71">
        <f t="shared" si="1"/>
        <v>129.30174464725519</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15387.26</v>
      </c>
      <c r="E161" s="192">
        <f>2540.85+17534.05</f>
        <v>20074.899999999998</v>
      </c>
      <c r="F161" s="71">
        <f t="shared" si="1"/>
        <v>130.46442316565782</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62665.79</v>
      </c>
      <c r="E164" s="192">
        <f>62665.79</f>
        <v>62665.79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151.16</v>
      </c>
      <c r="E171" s="79">
        <f t="shared" si="27"/>
        <v>1176.8499999999999</v>
      </c>
      <c r="F171" s="71">
        <f t="shared" si="1"/>
        <v>778.54591161682981</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151.16</v>
      </c>
      <c r="E172" s="192">
        <v>1176.8499999999999</v>
      </c>
      <c r="F172" s="71">
        <f t="shared" si="1"/>
        <v>778.54591161682981</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6210874</v>
      </c>
      <c r="E176" s="79">
        <f>E177+E251</f>
        <v>7299248.0699999984</v>
      </c>
      <c r="F176" s="71">
        <f t="shared" si="1"/>
        <v>117.52368619939799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71017.460000000006</v>
      </c>
      <c r="E177" s="79">
        <f>E178+E197+E203+E219+E247+E248</f>
        <v>394821.71999999991</v>
      </c>
      <c r="F177" s="71">
        <f t="shared" si="1"/>
        <v>555.95021280682226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2436</v>
      </c>
      <c r="C178" s="134" t="s">
        <v>3</v>
      </c>
      <c r="D178" s="79">
        <f>SUM(D179:D181)+D185+D186+SUM(D194:D196)</f>
        <v>70773.86</v>
      </c>
      <c r="E178" s="79">
        <f>SUM(E179:E181)+E185+E186+SUM(E194:E196)</f>
        <v>387183.94999999995</v>
      </c>
      <c r="F178" s="71">
        <f t="shared" si="1"/>
        <v>547.07196979223681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34287.69</v>
      </c>
      <c r="E179" s="192">
        <f>12320.65+38712.81</f>
        <v>51033.46</v>
      </c>
      <c r="F179" s="71">
        <f t="shared" si="1"/>
        <v>148.83901481843773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27671.24</v>
      </c>
      <c r="E180" s="192">
        <f>22576.34+8667.56</f>
        <v>31243.9</v>
      </c>
      <c r="F180" s="71">
        <f t="shared" si="1"/>
        <v>112.91109469615384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252.03</v>
      </c>
      <c r="E181" s="79">
        <f t="shared" si="28"/>
        <v>253.14</v>
      </c>
      <c r="F181" s="71">
        <f t="shared" si="1"/>
        <v>100.4404237590763</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252.03</v>
      </c>
      <c r="E184" s="192">
        <f>253.14</f>
        <v>253.14</v>
      </c>
      <c r="F184" s="71">
        <f t="shared" si="1"/>
        <v>100.4404237590763</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3558</v>
      </c>
      <c r="E194" s="192">
        <f>1090.23</f>
        <v>1090.23</v>
      </c>
      <c r="F194" s="71">
        <f t="shared" si="1"/>
        <v>30.64165261382799</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3381.46</v>
      </c>
      <c r="E195" s="192">
        <f>303563.22</f>
        <v>303563.21999999997</v>
      </c>
      <c r="F195" s="71">
        <f t="shared" si="1"/>
        <v>8977.2825939091399</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1623.44</v>
      </c>
      <c r="E196" s="192">
        <f>0</f>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6604.87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f>6604.87</f>
        <v>6604.87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f>789.3</f>
        <v>789.3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243.6</v>
      </c>
      <c r="E248" s="79">
        <f t="shared" si="37"/>
        <v>243.6</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243.6</v>
      </c>
      <c r="E249" s="192">
        <v>243.6</v>
      </c>
      <c r="F249" s="71">
        <f t="shared" si="1"/>
        <v>100</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6139856.54</v>
      </c>
      <c r="E251" s="79">
        <f>+E252+E255-E264+E274+E291</f>
        <v>6904426.3499999987</v>
      </c>
      <c r="F251" s="71">
        <f t="shared" si="1"/>
        <v>112.45256798785073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4747797.38</v>
      </c>
      <c r="E252" s="79">
        <f>E253-E254</f>
        <v>5008572.0499999989</v>
      </c>
      <c r="F252" s="71">
        <f t="shared" si="1"/>
        <v>105.49253999546204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4849989.51</v>
      </c>
      <c r="E253" s="192">
        <f>5097597.81+15884.18</f>
        <v>5113481.9899999993</v>
      </c>
      <c r="F253" s="71">
        <f t="shared" si="1"/>
        <v>105.4328463898059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102192.13</v>
      </c>
      <c r="E254" s="192">
        <f>104909.94</f>
        <v>104909.94</v>
      </c>
      <c r="F254" s="71">
        <f t="shared" si="1"/>
        <v>102.65951008164717</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1356903.2999999998</v>
      </c>
      <c r="E255" s="79">
        <f>E256-E260</f>
        <v>1782193.55</v>
      </c>
      <c r="F255" s="71">
        <f t="shared" si="1"/>
        <v>131.34270879877735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4216281.0599999996</v>
      </c>
      <c r="E256" s="79">
        <f>SUM(E257:E259)</f>
        <v>1782193.55</v>
      </c>
      <c r="F256" s="71">
        <f t="shared" si="1"/>
        <v>42.269325138395786</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4216281.0599999996</v>
      </c>
      <c r="E257" s="192">
        <f>556390.74-16908.97</f>
        <v>539481.77</v>
      </c>
      <c r="F257" s="71">
        <f t="shared" si="1"/>
        <v>12.795204169809308</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f>1264337.45-21625.67</f>
        <v>1242711.78</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f>0</f>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2859377.76</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f>0</f>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f>2819906.21</f>
        <v>2819906.21</v>
      </c>
      <c r="E262" s="192">
        <f>0</f>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39471.550000000003</v>
      </c>
      <c r="E263" s="192">
        <f>0</f>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f>0</f>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f>0</f>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f>0</f>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f>0</f>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f>0</f>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f>0</f>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f>0</f>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f>0</f>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f>0</f>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35155.86</v>
      </c>
      <c r="E274" s="79">
        <f>SUM(E275:E277)+SUM(E286:E290)</f>
        <v>113660.75</v>
      </c>
      <c r="F274" s="71">
        <f t="shared" si="1"/>
        <v>323.30527542207761</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f>8719.12</f>
        <v>8719.1200000000008</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f>0</f>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f>0</f>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f>0</f>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f>0</f>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f>0</f>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f>0</f>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f>0</f>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f>0</f>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f>0</f>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f>19666.2</f>
        <v>19666.2</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35155.86</v>
      </c>
      <c r="E287" s="192">
        <v>64563.360000000001</v>
      </c>
      <c r="F287" s="71">
        <f t="shared" si="39"/>
        <v>183.64892794544068</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f>3158.28+17553.79</f>
        <v>20712.07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f>0</f>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f>0</f>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f>0</f>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f>0</f>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f>0</f>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f>0</f>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f>0</f>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f>0</f>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f>0</f>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102519.57</v>
      </c>
      <c r="E302" s="192">
        <f>6864.6</f>
        <v>6864.6</v>
      </c>
      <c r="F302" s="71">
        <f t="shared" si="43"/>
        <v>6.6958923062201681</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10737.37</v>
      </c>
      <c r="E303" s="192">
        <f>158820.78+10669.45</f>
        <v>169490.23</v>
      </c>
      <c r="F303" s="71">
        <f t="shared" si="43"/>
        <v>1578.5078655201414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f>0</f>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f>0</f>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5820.04</v>
      </c>
      <c r="E308" s="192">
        <v>6813.57</v>
      </c>
      <c r="F308" s="71">
        <f t="shared" si="43"/>
        <v>117.07084487391839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1364.34</v>
      </c>
      <c r="E309" s="192">
        <v>1071.1300000000001</v>
      </c>
      <c r="F309" s="71">
        <f t="shared" si="43"/>
        <v>78.509022677631691</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f>0</f>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f>0</f>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f>0</f>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f>0</f>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f>0</f>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35702.47</v>
      </c>
      <c r="E336" s="192">
        <v>253.76</v>
      </c>
      <c r="F336" s="71">
        <f t="shared" si="43"/>
        <v>0.71076314888017544</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35071.39</v>
      </c>
      <c r="E337" s="192">
        <f>339803.58+47126.61</f>
        <v>386930.19</v>
      </c>
      <c r="F337" s="71">
        <f t="shared" si="43"/>
        <v>1103.2644842419988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f>0</f>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f>6604.87</f>
        <v>6604.87</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f>0</f>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f>0</f>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f>0</f>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f>0</f>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519</v>
      </c>
      <c r="E344" s="192">
        <f>0</f>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f>789.3</f>
        <v>789.3</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zoomScale="145" zoomScaleNormal="145" workbookViewId="0">
      <selection activeCell="E117" sqref="E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317223.17</v>
      </c>
      <c r="E5" s="58">
        <f t="shared" si="0"/>
        <v>440501.14</v>
      </c>
      <c r="F5" s="59">
        <f t="shared" ref="F5:F141" si="1">IF(D5&gt;0,IF(E5/D5&gt;=100,"&gt;&gt;100",E5/D5*100),"-")</f>
        <v>138.86159072176224</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101136.36</v>
      </c>
      <c r="E6" s="60">
        <f t="shared" si="2"/>
        <v>175245.11</v>
      </c>
      <c r="F6" s="45">
        <f t="shared" si="1"/>
        <v>173.27607005037552</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101136.36</v>
      </c>
      <c r="E7" s="194">
        <f>175245.11</f>
        <v>175245.11</v>
      </c>
      <c r="F7" s="45">
        <f t="shared" si="1"/>
        <v>173.27607005037552</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216086.81</v>
      </c>
      <c r="E13" s="60">
        <f t="shared" si="4"/>
        <v>265256.03000000003</v>
      </c>
      <c r="F13" s="45">
        <f t="shared" si="1"/>
        <v>122.75438283345477</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85549.3</v>
      </c>
      <c r="E14" s="194">
        <f>88837.41</f>
        <v>88837.41</v>
      </c>
      <c r="F14" s="45">
        <f t="shared" si="1"/>
        <v>103.84352648122194</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130537.51</v>
      </c>
      <c r="E16" s="194">
        <f>176418.62</f>
        <v>176418.62</v>
      </c>
      <c r="F16" s="45">
        <f t="shared" si="1"/>
        <v>135.14783605110898</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58814.720000000001</v>
      </c>
      <c r="E28" s="60">
        <f t="shared" si="6"/>
        <v>72066.990000000005</v>
      </c>
      <c r="F28" s="45">
        <f t="shared" si="1"/>
        <v>122.53223342727809</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53040.69</v>
      </c>
      <c r="E30" s="194">
        <f>64722.04</f>
        <v>64722.04</v>
      </c>
      <c r="F30" s="45">
        <f t="shared" si="1"/>
        <v>122.02337488445193</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5774.03</v>
      </c>
      <c r="E34" s="194">
        <f>7344.95</f>
        <v>7344.95</v>
      </c>
      <c r="F34" s="45">
        <f t="shared" si="1"/>
        <v>127.20664769666941</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743025.75</v>
      </c>
      <c r="E35" s="60">
        <f t="shared" si="7"/>
        <v>404257.19999999995</v>
      </c>
      <c r="F35" s="45">
        <f t="shared" si="1"/>
        <v>54.406889667013559</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11612.19</v>
      </c>
      <c r="E39" s="60">
        <f t="shared" si="9"/>
        <v>18312.5</v>
      </c>
      <c r="F39" s="45">
        <f t="shared" si="1"/>
        <v>157.70065767094749</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3298.65</v>
      </c>
      <c r="E40" s="194">
        <f>7812.5</f>
        <v>7812.5</v>
      </c>
      <c r="F40" s="45">
        <f t="shared" si="1"/>
        <v>236.83931305230925</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8313.5400000000009</v>
      </c>
      <c r="E42" s="194">
        <f>10500</f>
        <v>10500</v>
      </c>
      <c r="F42" s="45">
        <f t="shared" si="1"/>
        <v>126.29998773085833</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185511.17</v>
      </c>
      <c r="E54" s="60">
        <f t="shared" si="12"/>
        <v>277367.93</v>
      </c>
      <c r="F54" s="45">
        <f t="shared" si="1"/>
        <v>149.51548739625758</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185511.17</v>
      </c>
      <c r="E55" s="194">
        <f>277367.93</f>
        <v>277367.93</v>
      </c>
      <c r="F55" s="45">
        <f t="shared" si="1"/>
        <v>149.51548739625758</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548.15</v>
      </c>
      <c r="E60" s="194">
        <f>3875.62</f>
        <v>3875.62</v>
      </c>
      <c r="F60" s="45">
        <f t="shared" si="1"/>
        <v>707.03639514731367</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545354.23999999999</v>
      </c>
      <c r="E74" s="194">
        <f>104701.15</f>
        <v>104701.15</v>
      </c>
      <c r="F74" s="45">
        <f t="shared" si="1"/>
        <v>19.198741353876702</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76038.100000000006</v>
      </c>
      <c r="E75" s="60">
        <f t="shared" si="15"/>
        <v>75387.600000000006</v>
      </c>
      <c r="F75" s="45">
        <f t="shared" si="1"/>
        <v>99.144507819106479</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39535.279999999999</v>
      </c>
      <c r="E76" s="194">
        <f>33189.67</f>
        <v>33189.67</v>
      </c>
      <c r="F76" s="45">
        <f t="shared" si="1"/>
        <v>83.949500294420574</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36502.82</v>
      </c>
      <c r="E81" s="194">
        <f>42197.93</f>
        <v>42197.93</v>
      </c>
      <c r="F81" s="45">
        <f t="shared" si="1"/>
        <v>115.60183569379024</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209770.76</v>
      </c>
      <c r="E82" s="60">
        <f t="shared" si="16"/>
        <v>557541.27</v>
      </c>
      <c r="F82" s="45">
        <f t="shared" si="1"/>
        <v>265.78597989538679</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f>13125</f>
        <v>13125</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154826.1</v>
      </c>
      <c r="E84" s="194">
        <f>187778.13</f>
        <v>187778.13</v>
      </c>
      <c r="F84" s="45">
        <f t="shared" si="1"/>
        <v>121.28325262988604</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39305.440000000002</v>
      </c>
      <c r="E86" s="194">
        <f>39791.49</f>
        <v>39791.49</v>
      </c>
      <c r="F86" s="45">
        <f t="shared" si="1"/>
        <v>101.23659727508456</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f>300000</f>
        <v>300000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15639.22</v>
      </c>
      <c r="E88" s="194">
        <f>16846.65</f>
        <v>16846.650000000001</v>
      </c>
      <c r="F88" s="45">
        <f t="shared" si="1"/>
        <v>107.72052570396735</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8315.77</v>
      </c>
      <c r="E89" s="60">
        <f t="shared" si="17"/>
        <v>9648.17</v>
      </c>
      <c r="F89" s="45">
        <f t="shared" si="1"/>
        <v>116.0225691667759</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8315.77</v>
      </c>
      <c r="E104" s="194">
        <f>9648.17</f>
        <v>9648.17</v>
      </c>
      <c r="F104" s="45">
        <f t="shared" si="1"/>
        <v>116.0225691667759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106645.20000000001</v>
      </c>
      <c r="E107" s="60">
        <f t="shared" si="21"/>
        <v>137077.04999999999</v>
      </c>
      <c r="F107" s="45">
        <f t="shared" si="1"/>
        <v>128.53560216493568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53695.66</v>
      </c>
      <c r="E108" s="194">
        <f>80005.81</f>
        <v>80005.81</v>
      </c>
      <c r="F108" s="45">
        <f t="shared" si="1"/>
        <v>148.99865277752428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33768.25</v>
      </c>
      <c r="E109" s="194">
        <f>37709.94</f>
        <v>37709.94</v>
      </c>
      <c r="F109" s="45">
        <f t="shared" si="1"/>
        <v>111.67276953943424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11293.33</v>
      </c>
      <c r="E110" s="194">
        <f>14361.3</f>
        <v>14361.3</v>
      </c>
      <c r="F110" s="45">
        <f t="shared" si="1"/>
        <v>127.1662122686577</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5939</v>
      </c>
      <c r="E111" s="194">
        <f>5000</f>
        <v>5000</v>
      </c>
      <c r="F111" s="45">
        <f t="shared" si="1"/>
        <v>84.189257450749295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1948.96</v>
      </c>
      <c r="E113" s="194"/>
      <c r="F113" s="45">
        <f t="shared" si="1"/>
        <v>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424449.05</v>
      </c>
      <c r="E114" s="60">
        <f t="shared" si="22"/>
        <v>611114.35</v>
      </c>
      <c r="F114" s="45">
        <f t="shared" si="1"/>
        <v>143.97825840345266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391109.05</v>
      </c>
      <c r="E115" s="60">
        <f t="shared" si="23"/>
        <v>571034.35</v>
      </c>
      <c r="F115" s="45">
        <f t="shared" si="1"/>
        <v>146.00387027607772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390434.95</v>
      </c>
      <c r="E116" s="194">
        <f>23401.97+534475.97+10000</f>
        <v>567877.93999999994</v>
      </c>
      <c r="F116" s="45">
        <f t="shared" si="1"/>
        <v>145.44751692951667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674.1</v>
      </c>
      <c r="E117" s="194">
        <f>3156.41</f>
        <v>3156.41</v>
      </c>
      <c r="F117" s="45">
        <f t="shared" si="1"/>
        <v>468.24061711912179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17850</v>
      </c>
      <c r="E118" s="60">
        <f t="shared" si="24"/>
        <v>22270</v>
      </c>
      <c r="F118" s="45">
        <f t="shared" si="1"/>
        <v>124.76190476190476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17850</v>
      </c>
      <c r="E120" s="194">
        <f>22270</f>
        <v>22270</v>
      </c>
      <c r="F120" s="45">
        <f t="shared" si="1"/>
        <v>124.76190476190476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15490</v>
      </c>
      <c r="E122" s="60">
        <f t="shared" si="25"/>
        <v>17810</v>
      </c>
      <c r="F122" s="45">
        <f t="shared" si="1"/>
        <v>114.97740477727567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15490</v>
      </c>
      <c r="E123" s="194">
        <f>17810</f>
        <v>17810</v>
      </c>
      <c r="F123" s="45">
        <f t="shared" si="1"/>
        <v>114.97740477727567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104671.89</v>
      </c>
      <c r="E129" s="60">
        <f t="shared" si="26"/>
        <v>166925.14000000001</v>
      </c>
      <c r="F129" s="45">
        <f t="shared" si="1"/>
        <v>159.47465933786046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34570</v>
      </c>
      <c r="E133" s="194">
        <f>83100</f>
        <v>83100</v>
      </c>
      <c r="F133" s="45">
        <f t="shared" si="1"/>
        <v>240.381833960081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20791.13</v>
      </c>
      <c r="E135" s="194">
        <f>35660.53</f>
        <v>35660.53</v>
      </c>
      <c r="F135" s="45">
        <f t="shared" si="1"/>
        <v>171.51799830023666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49310.76</v>
      </c>
      <c r="E140" s="194">
        <f>48164.61</f>
        <v>48164.61</v>
      </c>
      <c r="F140" s="45">
        <f t="shared" si="1"/>
        <v>97.675659430112205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2048954.4100000001</v>
      </c>
      <c r="E141" s="81">
        <f t="shared" si="28"/>
        <v>2474518.91</v>
      </c>
      <c r="F141" s="61">
        <f t="shared" si="1"/>
        <v>120.76983743137555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232698.93</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232698.93</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0</v>
      </c>
      <c r="E7" s="83">
        <f t="shared" si="2"/>
        <v>232698.93</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c r="E9" s="195">
        <f>232698.93</f>
        <v>232698.93</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6" zoomScale="205" zoomScaleNormal="205" workbookViewId="0">
      <selection activeCell="D106" sqre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132958.95000000001</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2547497.33</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3</v>
      </c>
      <c r="B8" s="89" t="s">
        <v>3161</v>
      </c>
      <c r="C8" s="139" t="s">
        <v>3162</v>
      </c>
      <c r="D8" s="34">
        <f>SUM(D9:D16)</f>
        <v>1973838.6</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f>173289.84+386564.79</f>
        <v>559854.63</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f>562532.86+135732.71</f>
        <v>698265.57</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f>2838.07</f>
        <v>2838.07</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f>7200</f>
        <v>7200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f>0</f>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f>196255.14</f>
        <v>196255.14</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f>492239.71</f>
        <v>492239.71</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f>17185.48</f>
        <v>17185.48</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f>487397.46+9446.75</f>
        <v>496844.21</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f>76814.52</f>
        <v>76814.52</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2285878.16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3194</v>
      </c>
      <c r="C27" s="139" t="s">
        <v>3195</v>
      </c>
      <c r="D27" s="34">
        <f>SUM(D28:D35)</f>
        <v>1657428.5099999998</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f>172602.47+372294.52</f>
        <v>544896.99</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f>554071.54+138833.24</f>
        <v>692904.78</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f>2836.96</f>
        <v>2836.96</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f>7200</f>
        <v>7200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f>0</f>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f>198722.91</f>
        <v>198722.91</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f>192057.95</f>
        <v>192057.95</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f>18808.92</f>
        <v>18808.919999999998</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f>542977.68+9446.75</f>
        <v>552424.43000000005</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f>76025.22</f>
        <v>76025.22</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394578.12000000011</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253.76</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3</v>
      </c>
      <c r="B51" s="134" t="s">
        <v>3228</v>
      </c>
      <c r="C51" s="139" t="s">
        <v>3229</v>
      </c>
      <c r="D51" s="34">
        <f>D52+D57+D62+D67+D72+D77+D82+D87</f>
        <v>253.76</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253.76</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253.76</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394324.36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3139</v>
      </c>
      <c r="C106" s="139" t="s">
        <v>3295</v>
      </c>
      <c r="D106" s="199">
        <f>339803.58+47126.61</f>
        <v>386930.19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f>6604.87</f>
        <v>6604.87</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f>789.3</f>
        <v>789.3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190" zoomScaleNormal="19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5" t="s">
        <v>3153</v>
      </c>
      <c r="B1" s="383"/>
      <c r="C1" s="383"/>
      <c r="D1" s="383"/>
      <c r="E1" s="51" t="s">
        <v>3300</v>
      </c>
      <c r="F1" s="51"/>
      <c r="G1" s="51"/>
      <c r="H1" s="51"/>
      <c r="I1" s="51"/>
      <c r="J1" s="51"/>
      <c r="K1" s="51"/>
      <c r="L1" s="51"/>
      <c r="M1" s="51"/>
      <c r="N1" s="51"/>
      <c r="O1" s="51"/>
      <c r="P1" s="51"/>
    </row>
    <row r="2" spans="1:17" ht="37.5" customHeight="1" x14ac:dyDescent="0.25">
      <c r="A2" s="385" t="s">
        <v>3301</v>
      </c>
      <c r="B2" s="383"/>
      <c r="C2" s="383"/>
      <c r="D2" s="383"/>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27062</v>
      </c>
      <c r="P3" s="51"/>
    </row>
    <row r="4" spans="1:17" ht="19.5" customHeight="1" x14ac:dyDescent="0.25">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6" t="s">
        <v>3334</v>
      </c>
      <c r="B23" s="387"/>
      <c r="C23" s="388"/>
      <c r="D23" s="95"/>
      <c r="E23" s="51">
        <f>SUM(E24:E297)</f>
        <v>0</v>
      </c>
      <c r="F23" s="51">
        <f>SUM(F24:F297)</f>
        <v>10</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3540</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suzana majcen</cp:lastModifiedBy>
  <cp:lastPrinted>2025-11-26T12:43:51Z</cp:lastPrinted>
  <dcterms:created xsi:type="dcterms:W3CDTF">2022-04-01T05:14:30Z</dcterms:created>
  <dcterms:modified xsi:type="dcterms:W3CDTF">2026-03-02T19:01:39Z</dcterms:modified>
</cp:coreProperties>
</file>